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135" windowWidth="20415" windowHeight="7995" firstSheet="2" activeTab="2"/>
  </bookViews>
  <sheets>
    <sheet name="Лист1" sheetId="56" state="hidden" r:id="rId1"/>
    <sheet name="2019--2023 кор.19.05.20" sheetId="59" state="hidden" r:id="rId2"/>
    <sheet name="2021--2025 кор. 18.03.21" sheetId="57" r:id="rId3"/>
    <sheet name="для ДГ" sheetId="58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Fix_1" localSheetId="1" hidden="1">'2019--2023 кор.19.05.20'!$A$7:$R$379</definedName>
    <definedName name="_FilterDatabaseFix_2" localSheetId="2" hidden="1">'2021--2025 кор. 18.03.21'!$A$7:$R$427</definedName>
    <definedName name="_FilterDatabaseFix_3" localSheetId="3" hidden="1">'для ДГ'!$A$5:$S$69</definedName>
    <definedName name="_xlnm._FilterDatabase" localSheetId="2" hidden="1">'2021--2025 кор. 18.03.21'!$A$7:$R$427</definedName>
    <definedName name="Print_AreaFix_7" localSheetId="1">'2019--2023 кор.19.05.20'!$A$1:$R$382</definedName>
    <definedName name="Print_AreaFix_8" localSheetId="2">'2021--2025 кор. 18.03.21'!$A$1:$R$432</definedName>
    <definedName name="Print_AreaFix_9" localSheetId="3">'для ДГ'!$A$1:$V$80</definedName>
    <definedName name="Print_TitlesFix_4" localSheetId="1">'2019--2023 кор.19.05.20'!$7:$9</definedName>
    <definedName name="Print_TitlesFix_5" localSheetId="2">'2021--2025 кор. 18.03.21'!$7:$9</definedName>
    <definedName name="Print_TitlesFix_6" localSheetId="3">'для ДГ'!$2:$4</definedName>
    <definedName name="_xlnm.Print_Titles" localSheetId="2">'2021--2025 кор. 18.03.21'!$6:$9</definedName>
    <definedName name="_xlnm.Print_Area" localSheetId="2">'2021--2025 кор. 18.03.21'!$A$1:$Q$428</definedName>
  </definedNames>
  <calcPr calcId="145621"/>
</workbook>
</file>

<file path=xl/calcChain.xml><?xml version="1.0" encoding="utf-8"?>
<calcChain xmlns="http://schemas.openxmlformats.org/spreadsheetml/2006/main">
  <c r="K184" i="57" l="1"/>
  <c r="K183" i="57"/>
  <c r="K97" i="57"/>
  <c r="K57" i="57"/>
  <c r="F146" i="57"/>
  <c r="K400" i="57" l="1"/>
  <c r="K62" i="57"/>
  <c r="J62" i="57"/>
  <c r="J58" i="57"/>
  <c r="M60" i="57"/>
  <c r="M59" i="57"/>
  <c r="D60" i="57"/>
  <c r="E60" i="57"/>
  <c r="F60" i="57"/>
  <c r="G60" i="57"/>
  <c r="H60" i="57"/>
  <c r="I60" i="57"/>
  <c r="J60" i="57"/>
  <c r="K60" i="57"/>
  <c r="L60" i="57"/>
  <c r="D61" i="57"/>
  <c r="E61" i="57"/>
  <c r="F61" i="57"/>
  <c r="G61" i="57"/>
  <c r="I61" i="57"/>
  <c r="J61" i="57"/>
  <c r="M61" i="57" s="1"/>
  <c r="K61" i="57"/>
  <c r="L61" i="57"/>
  <c r="D62" i="57"/>
  <c r="E62" i="57"/>
  <c r="F62" i="57"/>
  <c r="G62" i="57"/>
  <c r="I62" i="57"/>
  <c r="L62" i="57"/>
  <c r="D63" i="57"/>
  <c r="E63" i="57"/>
  <c r="F63" i="57"/>
  <c r="G63" i="57"/>
  <c r="I63" i="57"/>
  <c r="J63" i="57"/>
  <c r="K63" i="57"/>
  <c r="M63" i="57" s="1"/>
  <c r="L63" i="57"/>
  <c r="E59" i="57"/>
  <c r="F59" i="57"/>
  <c r="G59" i="57"/>
  <c r="H59" i="57"/>
  <c r="I59" i="57"/>
  <c r="J59" i="57"/>
  <c r="K59" i="57"/>
  <c r="L59" i="57"/>
  <c r="D59" i="57"/>
  <c r="L58" i="57"/>
  <c r="K58" i="57"/>
  <c r="I58" i="57"/>
  <c r="G58" i="57"/>
  <c r="F58" i="57"/>
  <c r="E58" i="57"/>
  <c r="D58" i="57"/>
  <c r="M57" i="57"/>
  <c r="H57" i="57"/>
  <c r="H63" i="57" s="1"/>
  <c r="M56" i="57"/>
  <c r="H56" i="57"/>
  <c r="H62" i="57" s="1"/>
  <c r="M55" i="57"/>
  <c r="H55" i="57"/>
  <c r="H61" i="57" s="1"/>
  <c r="M54" i="57"/>
  <c r="H54" i="57"/>
  <c r="M53" i="57"/>
  <c r="H53" i="57"/>
  <c r="K401" i="57"/>
  <c r="K237" i="57"/>
  <c r="D64" i="57" l="1"/>
  <c r="M62" i="57"/>
  <c r="M64" i="57" s="1"/>
  <c r="M58" i="57"/>
  <c r="H58" i="57"/>
  <c r="D147" i="57"/>
  <c r="E147" i="57"/>
  <c r="F147" i="57"/>
  <c r="G147" i="57"/>
  <c r="I147" i="57"/>
  <c r="J147" i="57"/>
  <c r="K147" i="57"/>
  <c r="L147" i="57"/>
  <c r="D148" i="57"/>
  <c r="E148" i="57"/>
  <c r="F148" i="57"/>
  <c r="G148" i="57"/>
  <c r="I148" i="57"/>
  <c r="J148" i="57"/>
  <c r="K148" i="57"/>
  <c r="L148" i="57"/>
  <c r="D149" i="57"/>
  <c r="E149" i="57"/>
  <c r="F149" i="57"/>
  <c r="G149" i="57"/>
  <c r="I149" i="57"/>
  <c r="J149" i="57"/>
  <c r="K149" i="57"/>
  <c r="L149" i="57"/>
  <c r="D150" i="57"/>
  <c r="E150" i="57"/>
  <c r="F150" i="57"/>
  <c r="G150" i="57"/>
  <c r="I150" i="57"/>
  <c r="J150" i="57"/>
  <c r="K150" i="57"/>
  <c r="L150" i="57"/>
  <c r="E146" i="57"/>
  <c r="G146" i="57"/>
  <c r="I146" i="57"/>
  <c r="J146" i="57"/>
  <c r="K146" i="57"/>
  <c r="L146" i="57"/>
  <c r="D146" i="57"/>
  <c r="D208" i="57"/>
  <c r="E208" i="57"/>
  <c r="F208" i="57"/>
  <c r="G208" i="57"/>
  <c r="I208" i="57"/>
  <c r="J208" i="57"/>
  <c r="K208" i="57"/>
  <c r="L208" i="57"/>
  <c r="D209" i="57"/>
  <c r="E209" i="57"/>
  <c r="F209" i="57"/>
  <c r="G209" i="57"/>
  <c r="I209" i="57"/>
  <c r="J209" i="57"/>
  <c r="K209" i="57"/>
  <c r="L209" i="57"/>
  <c r="D210" i="57"/>
  <c r="E210" i="57"/>
  <c r="F210" i="57"/>
  <c r="G210" i="57"/>
  <c r="I210" i="57"/>
  <c r="J210" i="57"/>
  <c r="K210" i="57"/>
  <c r="L210" i="57"/>
  <c r="D211" i="57"/>
  <c r="E211" i="57"/>
  <c r="F211" i="57"/>
  <c r="G211" i="57"/>
  <c r="I211" i="57"/>
  <c r="J211" i="57"/>
  <c r="K211" i="57"/>
  <c r="L211" i="57"/>
  <c r="E207" i="57"/>
  <c r="F207" i="57"/>
  <c r="G207" i="57"/>
  <c r="I207" i="57"/>
  <c r="J207" i="57"/>
  <c r="L207" i="57"/>
  <c r="D207" i="57"/>
  <c r="L145" i="57"/>
  <c r="K145" i="57"/>
  <c r="J145" i="57"/>
  <c r="I145" i="57"/>
  <c r="G145" i="57"/>
  <c r="F145" i="57"/>
  <c r="E145" i="57"/>
  <c r="D145" i="57"/>
  <c r="M144" i="57"/>
  <c r="H144" i="57"/>
  <c r="M143" i="57"/>
  <c r="H143" i="57"/>
  <c r="M142" i="57"/>
  <c r="H142" i="57"/>
  <c r="M141" i="57"/>
  <c r="H141" i="57"/>
  <c r="M140" i="57"/>
  <c r="H140" i="57"/>
  <c r="H145" i="57" l="1"/>
  <c r="M145" i="57"/>
  <c r="K87" i="57"/>
  <c r="M154" i="57"/>
  <c r="M155" i="57"/>
  <c r="M156" i="57"/>
  <c r="M157" i="57"/>
  <c r="M153" i="57"/>
  <c r="H154" i="57"/>
  <c r="H155" i="57"/>
  <c r="H156" i="57"/>
  <c r="H157" i="57"/>
  <c r="H153" i="57"/>
  <c r="E158" i="57"/>
  <c r="F158" i="57"/>
  <c r="G158" i="57"/>
  <c r="I158" i="57"/>
  <c r="J158" i="57"/>
  <c r="K158" i="57"/>
  <c r="L158" i="57"/>
  <c r="D158" i="57"/>
  <c r="M158" i="57" l="1"/>
  <c r="M209" i="57"/>
  <c r="M208" i="57"/>
  <c r="M210" i="57"/>
  <c r="H158" i="57"/>
  <c r="M18" i="57"/>
  <c r="M19" i="57"/>
  <c r="M20" i="57"/>
  <c r="M21" i="57"/>
  <c r="M17" i="57"/>
  <c r="H18" i="57"/>
  <c r="H19" i="57"/>
  <c r="H20" i="57"/>
  <c r="H21" i="57"/>
  <c r="H17" i="57"/>
  <c r="I22" i="57"/>
  <c r="J22" i="57"/>
  <c r="K22" i="57"/>
  <c r="L22" i="57"/>
  <c r="E22" i="57"/>
  <c r="F22" i="57"/>
  <c r="G22" i="57"/>
  <c r="D22" i="57"/>
  <c r="M22" i="57" l="1"/>
  <c r="H22" i="57"/>
  <c r="K177" i="57"/>
  <c r="K207" i="57" l="1"/>
  <c r="M207" i="57" s="1"/>
  <c r="K405" i="57"/>
  <c r="D410" i="57" l="1"/>
  <c r="E410" i="57"/>
  <c r="F410" i="57"/>
  <c r="G410" i="57"/>
  <c r="I410" i="57"/>
  <c r="J410" i="57"/>
  <c r="L410" i="57"/>
  <c r="D411" i="57"/>
  <c r="E411" i="57"/>
  <c r="F411" i="57"/>
  <c r="G411" i="57"/>
  <c r="I411" i="57"/>
  <c r="J411" i="57"/>
  <c r="K411" i="57"/>
  <c r="L411" i="57"/>
  <c r="D412" i="57"/>
  <c r="E412" i="57"/>
  <c r="F412" i="57"/>
  <c r="G412" i="57"/>
  <c r="I412" i="57"/>
  <c r="J412" i="57"/>
  <c r="K412" i="57"/>
  <c r="L412" i="57"/>
  <c r="D413" i="57"/>
  <c r="E413" i="57"/>
  <c r="F413" i="57"/>
  <c r="G413" i="57"/>
  <c r="I413" i="57"/>
  <c r="J413" i="57"/>
  <c r="K413" i="57"/>
  <c r="L413" i="57"/>
  <c r="E409" i="57"/>
  <c r="F409" i="57"/>
  <c r="G409" i="57"/>
  <c r="I409" i="57"/>
  <c r="L409" i="57"/>
  <c r="D409" i="57"/>
  <c r="E226" i="57" l="1"/>
  <c r="F226" i="57"/>
  <c r="G226" i="57"/>
  <c r="I226" i="57"/>
  <c r="J226" i="57"/>
  <c r="L226" i="57"/>
  <c r="D226" i="57"/>
  <c r="L219" i="57"/>
  <c r="K219" i="57"/>
  <c r="J219" i="57"/>
  <c r="I219" i="57"/>
  <c r="G219" i="57"/>
  <c r="F219" i="57"/>
  <c r="E219" i="57"/>
  <c r="D219" i="57"/>
  <c r="M218" i="57"/>
  <c r="H218" i="57"/>
  <c r="M217" i="57"/>
  <c r="H217" i="57"/>
  <c r="M216" i="57"/>
  <c r="H216" i="57"/>
  <c r="M215" i="57"/>
  <c r="H215" i="57"/>
  <c r="M214" i="57"/>
  <c r="H214" i="57"/>
  <c r="K386" i="57"/>
  <c r="E151" i="57"/>
  <c r="M146" i="57"/>
  <c r="L139" i="57"/>
  <c r="K139" i="57"/>
  <c r="J139" i="57"/>
  <c r="I139" i="57"/>
  <c r="G139" i="57"/>
  <c r="F139" i="57"/>
  <c r="E139" i="57"/>
  <c r="D139" i="57"/>
  <c r="M138" i="57"/>
  <c r="H138" i="57"/>
  <c r="M137" i="57"/>
  <c r="H137" i="57"/>
  <c r="M136" i="57"/>
  <c r="H136" i="57"/>
  <c r="M135" i="57"/>
  <c r="H135" i="57"/>
  <c r="M134" i="57"/>
  <c r="H134" i="57"/>
  <c r="D151" i="57" l="1"/>
  <c r="H219" i="57"/>
  <c r="M219" i="57"/>
  <c r="M139" i="57"/>
  <c r="H139" i="57"/>
  <c r="M211" i="57"/>
  <c r="M212" i="57" s="1"/>
  <c r="J133" i="57"/>
  <c r="K297" i="57" l="1"/>
  <c r="K298" i="57"/>
  <c r="K299" i="57"/>
  <c r="D127" i="57" l="1"/>
  <c r="L133" i="57"/>
  <c r="K133" i="57"/>
  <c r="I133" i="57"/>
  <c r="G133" i="57"/>
  <c r="F133" i="57"/>
  <c r="E133" i="57"/>
  <c r="D133" i="57"/>
  <c r="M132" i="57"/>
  <c r="H132" i="57"/>
  <c r="M131" i="57"/>
  <c r="H131" i="57"/>
  <c r="M130" i="57"/>
  <c r="H130" i="57"/>
  <c r="M129" i="57"/>
  <c r="H129" i="57"/>
  <c r="M128" i="57"/>
  <c r="H128" i="57"/>
  <c r="K40" i="57"/>
  <c r="J40" i="57"/>
  <c r="E40" i="57"/>
  <c r="D40" i="57"/>
  <c r="M133" i="57" l="1"/>
  <c r="H133" i="57"/>
  <c r="K391" i="57"/>
  <c r="K409" i="57" s="1"/>
  <c r="M417" i="57"/>
  <c r="M418" i="57"/>
  <c r="M419" i="57"/>
  <c r="M420" i="57"/>
  <c r="M421" i="57"/>
  <c r="M415" i="57"/>
  <c r="I109" i="57" l="1"/>
  <c r="I429" i="57"/>
  <c r="K31" i="57" l="1"/>
  <c r="J391" i="57"/>
  <c r="J409" i="57" s="1"/>
  <c r="K353" i="57"/>
  <c r="K392" i="57" l="1"/>
  <c r="K410" i="57" s="1"/>
  <c r="M409" i="57"/>
  <c r="K112" i="57"/>
  <c r="K111" i="57"/>
  <c r="J111" i="57"/>
  <c r="J112" i="57"/>
  <c r="J110" i="57"/>
  <c r="D109" i="57"/>
  <c r="D110" i="57"/>
  <c r="E110" i="57"/>
  <c r="F110" i="57"/>
  <c r="G110" i="57"/>
  <c r="I110" i="57"/>
  <c r="L110" i="57"/>
  <c r="D111" i="57"/>
  <c r="E111" i="57"/>
  <c r="F111" i="57"/>
  <c r="G111" i="57"/>
  <c r="I111" i="57"/>
  <c r="L111" i="57"/>
  <c r="D112" i="57"/>
  <c r="E112" i="57"/>
  <c r="F112" i="57"/>
  <c r="G112" i="57"/>
  <c r="I112" i="57"/>
  <c r="L112" i="57"/>
  <c r="D113" i="57"/>
  <c r="E113" i="57"/>
  <c r="F113" i="57"/>
  <c r="G113" i="57"/>
  <c r="I113" i="57"/>
  <c r="J113" i="57"/>
  <c r="K113" i="57"/>
  <c r="L113" i="57"/>
  <c r="E109" i="57"/>
  <c r="F109" i="57"/>
  <c r="G109" i="57"/>
  <c r="K109" i="57"/>
  <c r="L109" i="57"/>
  <c r="L108" i="57"/>
  <c r="I108" i="57"/>
  <c r="G108" i="57"/>
  <c r="F108" i="57"/>
  <c r="E108" i="57"/>
  <c r="D108" i="57"/>
  <c r="M107" i="57"/>
  <c r="H107" i="57"/>
  <c r="M106" i="57"/>
  <c r="H106" i="57"/>
  <c r="M105" i="57"/>
  <c r="H105" i="57"/>
  <c r="M104" i="57"/>
  <c r="K108" i="57"/>
  <c r="H104" i="57"/>
  <c r="H103" i="57"/>
  <c r="H108" i="57" l="1"/>
  <c r="J108" i="57"/>
  <c r="M103" i="57"/>
  <c r="M108" i="57" s="1"/>
  <c r="L350" i="57" l="1"/>
  <c r="I350" i="57"/>
  <c r="G350" i="57"/>
  <c r="F350" i="57"/>
  <c r="E350" i="57"/>
  <c r="D350" i="57"/>
  <c r="L349" i="57"/>
  <c r="K349" i="57"/>
  <c r="J349" i="57"/>
  <c r="I349" i="57"/>
  <c r="G349" i="57"/>
  <c r="F349" i="57"/>
  <c r="E349" i="57"/>
  <c r="D349" i="57"/>
  <c r="L348" i="57"/>
  <c r="K348" i="57"/>
  <c r="J348" i="57"/>
  <c r="I348" i="57"/>
  <c r="G348" i="57"/>
  <c r="F348" i="57"/>
  <c r="E348" i="57"/>
  <c r="D348" i="57"/>
  <c r="L347" i="57"/>
  <c r="K347" i="57"/>
  <c r="J347" i="57"/>
  <c r="I347" i="57"/>
  <c r="G347" i="57"/>
  <c r="F347" i="57"/>
  <c r="E347" i="57"/>
  <c r="D347" i="57"/>
  <c r="L346" i="57"/>
  <c r="K346" i="57"/>
  <c r="I346" i="57"/>
  <c r="G346" i="57"/>
  <c r="F346" i="57"/>
  <c r="E346" i="57"/>
  <c r="D346" i="57"/>
  <c r="L345" i="57"/>
  <c r="I345" i="57"/>
  <c r="G345" i="57"/>
  <c r="F345" i="57"/>
  <c r="E345" i="57"/>
  <c r="D345" i="57"/>
  <c r="K345" i="57"/>
  <c r="J350" i="57"/>
  <c r="M343" i="57"/>
  <c r="H343" i="57"/>
  <c r="H349" i="57" s="1"/>
  <c r="M342" i="57"/>
  <c r="H342" i="57"/>
  <c r="H348" i="57" s="1"/>
  <c r="M341" i="57"/>
  <c r="H341" i="57"/>
  <c r="H347" i="57" s="1"/>
  <c r="H340" i="57"/>
  <c r="L52" i="57"/>
  <c r="K52" i="57"/>
  <c r="J52" i="57"/>
  <c r="I52" i="57"/>
  <c r="G52" i="57"/>
  <c r="F52" i="57"/>
  <c r="E52" i="57"/>
  <c r="D52" i="57"/>
  <c r="M51" i="57"/>
  <c r="H51" i="57"/>
  <c r="M50" i="57"/>
  <c r="H50" i="57"/>
  <c r="M49" i="57"/>
  <c r="H49" i="57"/>
  <c r="M48" i="57"/>
  <c r="H48" i="57"/>
  <c r="M47" i="57"/>
  <c r="H47" i="57"/>
  <c r="M348" i="57" l="1"/>
  <c r="L351" i="57"/>
  <c r="G351" i="57"/>
  <c r="K351" i="57"/>
  <c r="F351" i="57"/>
  <c r="H350" i="57"/>
  <c r="D351" i="57"/>
  <c r="M350" i="57"/>
  <c r="M344" i="57"/>
  <c r="E351" i="57"/>
  <c r="I351" i="57"/>
  <c r="M349" i="57"/>
  <c r="H345" i="57"/>
  <c r="H346" i="57"/>
  <c r="J346" i="57"/>
  <c r="M340" i="57"/>
  <c r="M347" i="57"/>
  <c r="J345" i="57"/>
  <c r="M345" i="57" s="1"/>
  <c r="E414" i="57"/>
  <c r="M52" i="57"/>
  <c r="G414" i="57"/>
  <c r="L414" i="57"/>
  <c r="J414" i="57"/>
  <c r="F414" i="57"/>
  <c r="D414" i="57"/>
  <c r="H52" i="57"/>
  <c r="I414" i="57"/>
  <c r="L408" i="57"/>
  <c r="K408" i="57"/>
  <c r="J408" i="57"/>
  <c r="I408" i="57"/>
  <c r="G408" i="57"/>
  <c r="F408" i="57"/>
  <c r="E408" i="57"/>
  <c r="D408" i="57"/>
  <c r="M407" i="57"/>
  <c r="H407" i="57"/>
  <c r="M406" i="57"/>
  <c r="H406" i="57"/>
  <c r="M405" i="57"/>
  <c r="H405" i="57"/>
  <c r="M404" i="57"/>
  <c r="H404" i="57"/>
  <c r="M403" i="57"/>
  <c r="H403" i="57"/>
  <c r="H351" i="57" l="1"/>
  <c r="M346" i="57"/>
  <c r="J351" i="57"/>
  <c r="M351" i="57" s="1"/>
  <c r="H408" i="57"/>
  <c r="M408" i="57"/>
  <c r="F40" i="57"/>
  <c r="G40" i="57"/>
  <c r="I40" i="57"/>
  <c r="L40" i="57"/>
  <c r="D34" i="57"/>
  <c r="L206" i="57" l="1"/>
  <c r="K206" i="57"/>
  <c r="J206" i="57"/>
  <c r="I206" i="57"/>
  <c r="G206" i="57"/>
  <c r="F206" i="57"/>
  <c r="E206" i="57"/>
  <c r="D206" i="57"/>
  <c r="M205" i="57"/>
  <c r="H205" i="57"/>
  <c r="M204" i="57"/>
  <c r="H204" i="57"/>
  <c r="M203" i="57"/>
  <c r="H203" i="57"/>
  <c r="M202" i="57"/>
  <c r="H202" i="57"/>
  <c r="M201" i="57"/>
  <c r="H201" i="57"/>
  <c r="L200" i="57"/>
  <c r="K200" i="57"/>
  <c r="J200" i="57"/>
  <c r="I200" i="57"/>
  <c r="G200" i="57"/>
  <c r="F200" i="57"/>
  <c r="E200" i="57"/>
  <c r="D200" i="57"/>
  <c r="M199" i="57"/>
  <c r="H199" i="57"/>
  <c r="M198" i="57"/>
  <c r="H198" i="57"/>
  <c r="M197" i="57"/>
  <c r="H197" i="57"/>
  <c r="M196" i="57"/>
  <c r="H196" i="57"/>
  <c r="M195" i="57"/>
  <c r="H195" i="57"/>
  <c r="L194" i="57"/>
  <c r="K194" i="57"/>
  <c r="J194" i="57"/>
  <c r="I194" i="57"/>
  <c r="G194" i="57"/>
  <c r="F194" i="57"/>
  <c r="E194" i="57"/>
  <c r="D194" i="57"/>
  <c r="M193" i="57"/>
  <c r="H193" i="57"/>
  <c r="M192" i="57"/>
  <c r="H192" i="57"/>
  <c r="M191" i="57"/>
  <c r="H191" i="57"/>
  <c r="M190" i="57"/>
  <c r="H190" i="57"/>
  <c r="M189" i="57"/>
  <c r="H189" i="57"/>
  <c r="M206" i="57" l="1"/>
  <c r="H206" i="57"/>
  <c r="M200" i="57"/>
  <c r="H200" i="57"/>
  <c r="H194" i="57"/>
  <c r="M194" i="57"/>
  <c r="K110" i="57"/>
  <c r="J97" i="57"/>
  <c r="J109" i="57" s="1"/>
  <c r="J114" i="57" s="1"/>
  <c r="J302" i="57" l="1"/>
  <c r="N423" i="57" l="1"/>
  <c r="K23" i="57"/>
  <c r="M23" i="57" l="1"/>
  <c r="H23" i="57"/>
  <c r="P421" i="57"/>
  <c r="P427" i="57" s="1"/>
  <c r="N427" i="57" l="1"/>
  <c r="L127" i="57" l="1"/>
  <c r="I127" i="57"/>
  <c r="G127" i="57"/>
  <c r="F127" i="57"/>
  <c r="E127" i="57"/>
  <c r="M126" i="57"/>
  <c r="H126" i="57"/>
  <c r="M125" i="57"/>
  <c r="H125" i="57"/>
  <c r="M124" i="57"/>
  <c r="H124" i="57"/>
  <c r="M123" i="57"/>
  <c r="J127" i="57"/>
  <c r="H122" i="57"/>
  <c r="M411" i="57"/>
  <c r="M397" i="57"/>
  <c r="D379" i="57"/>
  <c r="E379" i="57"/>
  <c r="F379" i="57"/>
  <c r="G379" i="57"/>
  <c r="I379" i="57"/>
  <c r="J379" i="57"/>
  <c r="K379" i="57"/>
  <c r="L379" i="57"/>
  <c r="D380" i="57"/>
  <c r="E380" i="57"/>
  <c r="F380" i="57"/>
  <c r="G380" i="57"/>
  <c r="I380" i="57"/>
  <c r="J380" i="57"/>
  <c r="K380" i="57"/>
  <c r="L380" i="57"/>
  <c r="D381" i="57"/>
  <c r="E381" i="57"/>
  <c r="F381" i="57"/>
  <c r="G381" i="57"/>
  <c r="I381" i="57"/>
  <c r="J381" i="57"/>
  <c r="K381" i="57"/>
  <c r="L381" i="57"/>
  <c r="D382" i="57"/>
  <c r="E382" i="57"/>
  <c r="F382" i="57"/>
  <c r="G382" i="57"/>
  <c r="I382" i="57"/>
  <c r="J382" i="57"/>
  <c r="K382" i="57"/>
  <c r="L382" i="57"/>
  <c r="E378" i="57"/>
  <c r="F378" i="57"/>
  <c r="G378" i="57"/>
  <c r="I378" i="57"/>
  <c r="J378" i="57"/>
  <c r="K378" i="57"/>
  <c r="L378" i="57"/>
  <c r="D378" i="57"/>
  <c r="L377" i="57"/>
  <c r="K377" i="57"/>
  <c r="J377" i="57"/>
  <c r="I377" i="57"/>
  <c r="G377" i="57"/>
  <c r="F377" i="57"/>
  <c r="E377" i="57"/>
  <c r="D377" i="57"/>
  <c r="M376" i="57"/>
  <c r="H376" i="57"/>
  <c r="H382" i="57" s="1"/>
  <c r="M375" i="57"/>
  <c r="H375" i="57"/>
  <c r="H381" i="57" s="1"/>
  <c r="M374" i="57"/>
  <c r="H374" i="57"/>
  <c r="H380" i="57" s="1"/>
  <c r="M373" i="57"/>
  <c r="H373" i="57"/>
  <c r="H379" i="57" s="1"/>
  <c r="M372" i="57"/>
  <c r="H372" i="57"/>
  <c r="M413" i="57" l="1"/>
  <c r="H123" i="57"/>
  <c r="M412" i="57"/>
  <c r="K127" i="57"/>
  <c r="M127" i="57" s="1"/>
  <c r="M381" i="57"/>
  <c r="M122" i="57"/>
  <c r="M382" i="57"/>
  <c r="L383" i="57"/>
  <c r="I383" i="57"/>
  <c r="M378" i="57"/>
  <c r="M380" i="57"/>
  <c r="M377" i="57"/>
  <c r="H377" i="57"/>
  <c r="M379" i="57"/>
  <c r="H378" i="57"/>
  <c r="H383" i="57" s="1"/>
  <c r="F383" i="57"/>
  <c r="D383" i="57"/>
  <c r="E383" i="57"/>
  <c r="J383" i="57"/>
  <c r="G383" i="57"/>
  <c r="K383" i="57"/>
  <c r="J327" i="57"/>
  <c r="K314" i="57"/>
  <c r="K308" i="57"/>
  <c r="I295" i="57"/>
  <c r="J246" i="57"/>
  <c r="K220" i="57"/>
  <c r="K226" i="57" s="1"/>
  <c r="M226" i="57" s="1"/>
  <c r="D170" i="57"/>
  <c r="H127" i="57" l="1"/>
  <c r="H116" i="57"/>
  <c r="H146" i="57" s="1"/>
  <c r="M383" i="57"/>
  <c r="H97" i="57"/>
  <c r="H101" i="57"/>
  <c r="H98" i="57"/>
  <c r="H99" i="57"/>
  <c r="H100" i="57"/>
  <c r="H91" i="57"/>
  <c r="K72" i="57"/>
  <c r="H102" i="57" l="1"/>
  <c r="K66" i="57" l="1"/>
  <c r="H66" i="57" l="1"/>
  <c r="E34" i="57" l="1"/>
  <c r="F34" i="57"/>
  <c r="G34" i="57"/>
  <c r="I34" i="57"/>
  <c r="J34" i="57"/>
  <c r="K34" i="57"/>
  <c r="L34" i="57"/>
  <c r="I28" i="57" l="1"/>
  <c r="H24" i="57"/>
  <c r="H25" i="57"/>
  <c r="H26" i="57"/>
  <c r="H27" i="57"/>
  <c r="H28" i="57" l="1"/>
  <c r="J64" i="57"/>
  <c r="E64" i="57"/>
  <c r="E361" i="57"/>
  <c r="G273" i="57" l="1"/>
  <c r="H259" i="57" l="1"/>
  <c r="I9" i="58" l="1"/>
  <c r="J74" i="58" l="1"/>
  <c r="J75" i="58"/>
  <c r="J76" i="58"/>
  <c r="J77" i="58"/>
  <c r="I78" i="58"/>
  <c r="N379" i="59"/>
  <c r="L369" i="59"/>
  <c r="L368" i="59"/>
  <c r="L373" i="59" s="1"/>
  <c r="L364" i="59"/>
  <c r="J364" i="59"/>
  <c r="I364" i="59"/>
  <c r="G364" i="59"/>
  <c r="F364" i="59"/>
  <c r="E364" i="59"/>
  <c r="D364" i="59"/>
  <c r="L363" i="59"/>
  <c r="K363" i="59"/>
  <c r="J363" i="59"/>
  <c r="I363" i="59"/>
  <c r="G363" i="59"/>
  <c r="D363" i="59"/>
  <c r="L362" i="59"/>
  <c r="K362" i="59"/>
  <c r="J362" i="59"/>
  <c r="I362" i="59"/>
  <c r="G362" i="59"/>
  <c r="F362" i="59"/>
  <c r="E362" i="59"/>
  <c r="D362" i="59"/>
  <c r="L361" i="59"/>
  <c r="J361" i="59"/>
  <c r="I361" i="59"/>
  <c r="G361" i="59"/>
  <c r="F361" i="59"/>
  <c r="E361" i="59"/>
  <c r="D361" i="59"/>
  <c r="L360" i="59"/>
  <c r="J360" i="59"/>
  <c r="I360" i="59"/>
  <c r="G360" i="59"/>
  <c r="F360" i="59"/>
  <c r="E360" i="59"/>
  <c r="D360" i="59"/>
  <c r="L359" i="59"/>
  <c r="K359" i="59"/>
  <c r="J359" i="59"/>
  <c r="I359" i="59"/>
  <c r="G359" i="59"/>
  <c r="F359" i="59"/>
  <c r="E359" i="59"/>
  <c r="D359" i="59"/>
  <c r="M358" i="59"/>
  <c r="H358" i="59"/>
  <c r="M357" i="59"/>
  <c r="H357" i="59"/>
  <c r="M356" i="59"/>
  <c r="H356" i="59"/>
  <c r="K355" i="59"/>
  <c r="M355" i="59" s="1"/>
  <c r="H355" i="59"/>
  <c r="H359" i="59" s="1"/>
  <c r="M354" i="59"/>
  <c r="H354" i="59"/>
  <c r="L353" i="59"/>
  <c r="J353" i="59"/>
  <c r="I353" i="59"/>
  <c r="G353" i="59"/>
  <c r="F353" i="59"/>
  <c r="E353" i="59"/>
  <c r="D353" i="59"/>
  <c r="M352" i="59"/>
  <c r="H352" i="59"/>
  <c r="M351" i="59"/>
  <c r="H351" i="59"/>
  <c r="M350" i="59"/>
  <c r="H350" i="59"/>
  <c r="K349" i="59"/>
  <c r="M349" i="59" s="1"/>
  <c r="M353" i="59" s="1"/>
  <c r="M348" i="59"/>
  <c r="H348" i="59"/>
  <c r="L347" i="59"/>
  <c r="J347" i="59"/>
  <c r="I347" i="59"/>
  <c r="G347" i="59"/>
  <c r="D347" i="59"/>
  <c r="K346" i="59"/>
  <c r="K364" i="59" s="1"/>
  <c r="H346" i="59"/>
  <c r="M345" i="59"/>
  <c r="H345" i="59"/>
  <c r="F345" i="59"/>
  <c r="F347" i="59" s="1"/>
  <c r="E345" i="59"/>
  <c r="E347" i="59" s="1"/>
  <c r="M344" i="59"/>
  <c r="M362" i="59" s="1"/>
  <c r="H344" i="59"/>
  <c r="M343" i="59"/>
  <c r="H343" i="59"/>
  <c r="H347" i="59" s="1"/>
  <c r="M342" i="59"/>
  <c r="H342" i="59"/>
  <c r="L341" i="59"/>
  <c r="K341" i="59"/>
  <c r="M341" i="59" s="1"/>
  <c r="J341" i="59"/>
  <c r="I341" i="59"/>
  <c r="G341" i="59"/>
  <c r="G365" i="59" s="1"/>
  <c r="F341" i="59"/>
  <c r="D341" i="59"/>
  <c r="M340" i="59"/>
  <c r="H340" i="59"/>
  <c r="M339" i="59"/>
  <c r="H339" i="59"/>
  <c r="H341" i="59" s="1"/>
  <c r="E339" i="59"/>
  <c r="E341" i="59" s="1"/>
  <c r="M338" i="59"/>
  <c r="H338" i="59"/>
  <c r="M337" i="59"/>
  <c r="H337" i="59"/>
  <c r="M336" i="59"/>
  <c r="H336" i="59"/>
  <c r="L335" i="59"/>
  <c r="K335" i="59"/>
  <c r="J335" i="59"/>
  <c r="I335" i="59"/>
  <c r="G335" i="59"/>
  <c r="F335" i="59"/>
  <c r="E335" i="59"/>
  <c r="D335" i="59"/>
  <c r="M334" i="59"/>
  <c r="H334" i="59"/>
  <c r="M333" i="59"/>
  <c r="H333" i="59"/>
  <c r="M332" i="59"/>
  <c r="H332" i="59"/>
  <c r="M331" i="59"/>
  <c r="M335" i="59" s="1"/>
  <c r="H331" i="59"/>
  <c r="M330" i="59"/>
  <c r="H330" i="59"/>
  <c r="H335" i="59" s="1"/>
  <c r="L329" i="59"/>
  <c r="L365" i="59" s="1"/>
  <c r="J329" i="59"/>
  <c r="J365" i="59" s="1"/>
  <c r="I329" i="59"/>
  <c r="I365" i="59" s="1"/>
  <c r="G329" i="59"/>
  <c r="F329" i="59"/>
  <c r="F365" i="59" s="1"/>
  <c r="E329" i="59"/>
  <c r="E365" i="59" s="1"/>
  <c r="D329" i="59"/>
  <c r="D365" i="59" s="1"/>
  <c r="M328" i="59"/>
  <c r="H328" i="59"/>
  <c r="H364" i="59" s="1"/>
  <c r="M327" i="59"/>
  <c r="M363" i="59" s="1"/>
  <c r="H327" i="59"/>
  <c r="H363" i="59" s="1"/>
  <c r="M326" i="59"/>
  <c r="H326" i="59"/>
  <c r="H362" i="59" s="1"/>
  <c r="M325" i="59"/>
  <c r="H325" i="59"/>
  <c r="K324" i="59"/>
  <c r="K360" i="59" s="1"/>
  <c r="H324" i="59"/>
  <c r="H360" i="59" s="1"/>
  <c r="L321" i="59"/>
  <c r="M321" i="59" s="1"/>
  <c r="K321" i="59"/>
  <c r="J321" i="59"/>
  <c r="I321" i="59"/>
  <c r="G321" i="59"/>
  <c r="F321" i="59"/>
  <c r="E321" i="59"/>
  <c r="D321" i="59"/>
  <c r="L320" i="59"/>
  <c r="K320" i="59"/>
  <c r="J320" i="59"/>
  <c r="M320" i="59" s="1"/>
  <c r="I320" i="59"/>
  <c r="G320" i="59"/>
  <c r="F320" i="59"/>
  <c r="D320" i="59"/>
  <c r="L319" i="59"/>
  <c r="M319" i="59" s="1"/>
  <c r="K319" i="59"/>
  <c r="J319" i="59"/>
  <c r="I319" i="59"/>
  <c r="H319" i="59"/>
  <c r="G319" i="59"/>
  <c r="F319" i="59"/>
  <c r="E319" i="59"/>
  <c r="D319" i="59"/>
  <c r="L318" i="59"/>
  <c r="K318" i="59"/>
  <c r="J318" i="59"/>
  <c r="J322" i="59" s="1"/>
  <c r="I318" i="59"/>
  <c r="G318" i="59"/>
  <c r="F318" i="59"/>
  <c r="F322" i="59" s="1"/>
  <c r="E318" i="59"/>
  <c r="D318" i="59"/>
  <c r="L317" i="59"/>
  <c r="M317" i="59" s="1"/>
  <c r="K317" i="59"/>
  <c r="K322" i="59" s="1"/>
  <c r="J317" i="59"/>
  <c r="I317" i="59"/>
  <c r="I322" i="59" s="1"/>
  <c r="H317" i="59"/>
  <c r="G317" i="59"/>
  <c r="G322" i="59" s="1"/>
  <c r="F317" i="59"/>
  <c r="E317" i="59"/>
  <c r="E322" i="59" s="1"/>
  <c r="D317" i="59"/>
  <c r="D322" i="59" s="1"/>
  <c r="L316" i="59"/>
  <c r="K316" i="59"/>
  <c r="J316" i="59"/>
  <c r="M316" i="59" s="1"/>
  <c r="I316" i="59"/>
  <c r="G316" i="59"/>
  <c r="F316" i="59"/>
  <c r="D316" i="59"/>
  <c r="M315" i="59"/>
  <c r="H315" i="59"/>
  <c r="H321" i="59" s="1"/>
  <c r="M314" i="59"/>
  <c r="H314" i="59"/>
  <c r="E314" i="59"/>
  <c r="E320" i="59" s="1"/>
  <c r="M313" i="59"/>
  <c r="H313" i="59"/>
  <c r="M312" i="59"/>
  <c r="H312" i="59"/>
  <c r="M311" i="59"/>
  <c r="H311" i="59"/>
  <c r="H316" i="59" s="1"/>
  <c r="L310" i="59"/>
  <c r="K310" i="59"/>
  <c r="J310" i="59"/>
  <c r="M310" i="59" s="1"/>
  <c r="I310" i="59"/>
  <c r="G310" i="59"/>
  <c r="F310" i="59"/>
  <c r="E310" i="59"/>
  <c r="D310" i="59"/>
  <c r="M309" i="59"/>
  <c r="H309" i="59"/>
  <c r="M308" i="59"/>
  <c r="H308" i="59"/>
  <c r="H320" i="59" s="1"/>
  <c r="M307" i="59"/>
  <c r="H307" i="59"/>
  <c r="M306" i="59"/>
  <c r="H306" i="59"/>
  <c r="H318" i="59" s="1"/>
  <c r="M305" i="59"/>
  <c r="H305" i="59"/>
  <c r="H310" i="59" s="1"/>
  <c r="M302" i="59"/>
  <c r="L302" i="59"/>
  <c r="K302" i="59"/>
  <c r="J302" i="59"/>
  <c r="I302" i="59"/>
  <c r="G302" i="59"/>
  <c r="F302" i="59"/>
  <c r="E302" i="59"/>
  <c r="D302" i="59"/>
  <c r="L301" i="59"/>
  <c r="K301" i="59"/>
  <c r="J301" i="59"/>
  <c r="M301" i="59" s="1"/>
  <c r="I301" i="59"/>
  <c r="G301" i="59"/>
  <c r="F301" i="59"/>
  <c r="E301" i="59"/>
  <c r="D301" i="59"/>
  <c r="M300" i="59"/>
  <c r="L300" i="59"/>
  <c r="K300" i="59"/>
  <c r="J300" i="59"/>
  <c r="I300" i="59"/>
  <c r="G300" i="59"/>
  <c r="F300" i="59"/>
  <c r="E300" i="59"/>
  <c r="D300" i="59"/>
  <c r="L299" i="59"/>
  <c r="K299" i="59"/>
  <c r="K303" i="59" s="1"/>
  <c r="I299" i="59"/>
  <c r="G299" i="59"/>
  <c r="G303" i="59" s="1"/>
  <c r="F299" i="59"/>
  <c r="E299" i="59"/>
  <c r="D299" i="59"/>
  <c r="M298" i="59"/>
  <c r="L298" i="59"/>
  <c r="L303" i="59" s="1"/>
  <c r="K298" i="59"/>
  <c r="J298" i="59"/>
  <c r="I298" i="59"/>
  <c r="I303" i="59" s="1"/>
  <c r="G298" i="59"/>
  <c r="F298" i="59"/>
  <c r="F303" i="59" s="1"/>
  <c r="E298" i="59"/>
  <c r="E303" i="59" s="1"/>
  <c r="D298" i="59"/>
  <c r="D303" i="59" s="1"/>
  <c r="L297" i="59"/>
  <c r="K297" i="59"/>
  <c r="J297" i="59"/>
  <c r="I297" i="59"/>
  <c r="G297" i="59"/>
  <c r="F297" i="59"/>
  <c r="E297" i="59"/>
  <c r="D297" i="59"/>
  <c r="M296" i="59"/>
  <c r="H296" i="59"/>
  <c r="H302" i="59" s="1"/>
  <c r="M295" i="59"/>
  <c r="H295" i="59"/>
  <c r="H301" i="59" s="1"/>
  <c r="M294" i="59"/>
  <c r="H294" i="59"/>
  <c r="H300" i="59" s="1"/>
  <c r="M293" i="59"/>
  <c r="H293" i="59"/>
  <c r="M292" i="59"/>
  <c r="H292" i="59"/>
  <c r="H297" i="59" s="1"/>
  <c r="L291" i="59"/>
  <c r="K291" i="59"/>
  <c r="I291" i="59"/>
  <c r="G291" i="59"/>
  <c r="F291" i="59"/>
  <c r="E291" i="59"/>
  <c r="D291" i="59"/>
  <c r="M290" i="59"/>
  <c r="M289" i="59"/>
  <c r="M288" i="59"/>
  <c r="J287" i="59"/>
  <c r="M286" i="59"/>
  <c r="H286" i="59"/>
  <c r="I284" i="59"/>
  <c r="L283" i="59"/>
  <c r="K283" i="59"/>
  <c r="I283" i="59"/>
  <c r="G283" i="59"/>
  <c r="F283" i="59"/>
  <c r="E283" i="59"/>
  <c r="D283" i="59"/>
  <c r="M282" i="59"/>
  <c r="L282" i="59"/>
  <c r="K282" i="59"/>
  <c r="J282" i="59"/>
  <c r="I282" i="59"/>
  <c r="G282" i="59"/>
  <c r="F282" i="59"/>
  <c r="E282" i="59"/>
  <c r="E284" i="59" s="1"/>
  <c r="D282" i="59"/>
  <c r="L281" i="59"/>
  <c r="K281" i="59"/>
  <c r="J281" i="59"/>
  <c r="M281" i="59" s="1"/>
  <c r="I281" i="59"/>
  <c r="G281" i="59"/>
  <c r="F281" i="59"/>
  <c r="E281" i="59"/>
  <c r="D281" i="59"/>
  <c r="M280" i="59"/>
  <c r="L280" i="59"/>
  <c r="K280" i="59"/>
  <c r="J280" i="59"/>
  <c r="I280" i="59"/>
  <c r="G280" i="59"/>
  <c r="F280" i="59"/>
  <c r="E280" i="59"/>
  <c r="D280" i="59"/>
  <c r="L279" i="59"/>
  <c r="L284" i="59" s="1"/>
  <c r="K279" i="59"/>
  <c r="K284" i="59" s="1"/>
  <c r="J279" i="59"/>
  <c r="I279" i="59"/>
  <c r="G279" i="59"/>
  <c r="G284" i="59" s="1"/>
  <c r="F279" i="59"/>
  <c r="E279" i="59"/>
  <c r="D279" i="59"/>
  <c r="D284" i="59" s="1"/>
  <c r="L278" i="59"/>
  <c r="I278" i="59"/>
  <c r="G278" i="59"/>
  <c r="F278" i="59"/>
  <c r="E278" i="59"/>
  <c r="D278" i="59"/>
  <c r="K277" i="59"/>
  <c r="K278" i="59" s="1"/>
  <c r="J277" i="59"/>
  <c r="H277" i="59"/>
  <c r="H283" i="59" s="1"/>
  <c r="M276" i="59"/>
  <c r="H276" i="59"/>
  <c r="H282" i="59" s="1"/>
  <c r="M275" i="59"/>
  <c r="H275" i="59"/>
  <c r="H281" i="59" s="1"/>
  <c r="M274" i="59"/>
  <c r="H274" i="59"/>
  <c r="H280" i="59" s="1"/>
  <c r="M273" i="59"/>
  <c r="H273" i="59"/>
  <c r="H279" i="59" s="1"/>
  <c r="H284" i="59" s="1"/>
  <c r="M270" i="59"/>
  <c r="L270" i="59"/>
  <c r="K270" i="59"/>
  <c r="J270" i="59"/>
  <c r="I270" i="59"/>
  <c r="G270" i="59"/>
  <c r="F270" i="59"/>
  <c r="E270" i="59"/>
  <c r="D270" i="59"/>
  <c r="L269" i="59"/>
  <c r="K269" i="59"/>
  <c r="J269" i="59"/>
  <c r="M269" i="59" s="1"/>
  <c r="I269" i="59"/>
  <c r="G269" i="59"/>
  <c r="G271" i="59" s="1"/>
  <c r="F269" i="59"/>
  <c r="E269" i="59"/>
  <c r="D269" i="59"/>
  <c r="L268" i="59"/>
  <c r="K268" i="59"/>
  <c r="I268" i="59"/>
  <c r="G268" i="59"/>
  <c r="F268" i="59"/>
  <c r="E268" i="59"/>
  <c r="D268" i="59"/>
  <c r="L267" i="59"/>
  <c r="K267" i="59"/>
  <c r="K271" i="59" s="1"/>
  <c r="J267" i="59"/>
  <c r="M267" i="59" s="1"/>
  <c r="I267" i="59"/>
  <c r="G267" i="59"/>
  <c r="F267" i="59"/>
  <c r="E267" i="59"/>
  <c r="D267" i="59"/>
  <c r="L266" i="59"/>
  <c r="L271" i="59" s="1"/>
  <c r="K266" i="59"/>
  <c r="J266" i="59"/>
  <c r="I266" i="59"/>
  <c r="G266" i="59"/>
  <c r="F266" i="59"/>
  <c r="F271" i="59" s="1"/>
  <c r="E266" i="59"/>
  <c r="D266" i="59"/>
  <c r="D271" i="59" s="1"/>
  <c r="L265" i="59"/>
  <c r="K265" i="59"/>
  <c r="J265" i="59"/>
  <c r="I265" i="59"/>
  <c r="G265" i="59"/>
  <c r="F265" i="59"/>
  <c r="E265" i="59"/>
  <c r="D265" i="59"/>
  <c r="M264" i="59"/>
  <c r="H264" i="59"/>
  <c r="M263" i="59"/>
  <c r="H263" i="59"/>
  <c r="M262" i="59"/>
  <c r="H262" i="59"/>
  <c r="M261" i="59"/>
  <c r="H261" i="59"/>
  <c r="H265" i="59" s="1"/>
  <c r="M260" i="59"/>
  <c r="H260" i="59"/>
  <c r="L259" i="59"/>
  <c r="K259" i="59"/>
  <c r="J259" i="59"/>
  <c r="I259" i="59"/>
  <c r="G259" i="59"/>
  <c r="F259" i="59"/>
  <c r="E259" i="59"/>
  <c r="D259" i="59"/>
  <c r="M258" i="59"/>
  <c r="H258" i="59"/>
  <c r="M257" i="59"/>
  <c r="H257" i="59"/>
  <c r="M256" i="59"/>
  <c r="H256" i="59"/>
  <c r="M255" i="59"/>
  <c r="H255" i="59"/>
  <c r="H267" i="59" s="1"/>
  <c r="M254" i="59"/>
  <c r="H254" i="59"/>
  <c r="H266" i="59" s="1"/>
  <c r="L253" i="59"/>
  <c r="K253" i="59"/>
  <c r="I253" i="59"/>
  <c r="G253" i="59"/>
  <c r="F253" i="59"/>
  <c r="E253" i="59"/>
  <c r="D253" i="59"/>
  <c r="M252" i="59"/>
  <c r="H252" i="59"/>
  <c r="H270" i="59" s="1"/>
  <c r="M251" i="59"/>
  <c r="H251" i="59"/>
  <c r="H269" i="59" s="1"/>
  <c r="J250" i="59"/>
  <c r="H250" i="59" s="1"/>
  <c r="H268" i="59" s="1"/>
  <c r="M249" i="59"/>
  <c r="H249" i="59"/>
  <c r="H253" i="59" s="1"/>
  <c r="M248" i="59"/>
  <c r="H248" i="59"/>
  <c r="D246" i="59"/>
  <c r="L245" i="59"/>
  <c r="J245" i="59"/>
  <c r="I245" i="59"/>
  <c r="G245" i="59"/>
  <c r="F245" i="59"/>
  <c r="E245" i="59"/>
  <c r="D245" i="59"/>
  <c r="L244" i="59"/>
  <c r="K244" i="59"/>
  <c r="I244" i="59"/>
  <c r="G244" i="59"/>
  <c r="F244" i="59"/>
  <c r="E244" i="59"/>
  <c r="D244" i="59"/>
  <c r="L243" i="59"/>
  <c r="K243" i="59"/>
  <c r="J243" i="59"/>
  <c r="I243" i="59"/>
  <c r="G243" i="59"/>
  <c r="F243" i="59"/>
  <c r="E243" i="59"/>
  <c r="D243" i="59"/>
  <c r="L242" i="59"/>
  <c r="L246" i="59" s="1"/>
  <c r="J242" i="59"/>
  <c r="I242" i="59"/>
  <c r="I246" i="59" s="1"/>
  <c r="G242" i="59"/>
  <c r="F242" i="59"/>
  <c r="E242" i="59"/>
  <c r="D242" i="59"/>
  <c r="L241" i="59"/>
  <c r="K241" i="59"/>
  <c r="J241" i="59"/>
  <c r="I241" i="59"/>
  <c r="G241" i="59"/>
  <c r="G246" i="59" s="1"/>
  <c r="F241" i="59"/>
  <c r="F246" i="59" s="1"/>
  <c r="E241" i="59"/>
  <c r="E246" i="59" s="1"/>
  <c r="D241" i="59"/>
  <c r="L240" i="59"/>
  <c r="I240" i="59"/>
  <c r="G240" i="59"/>
  <c r="F240" i="59"/>
  <c r="E240" i="59"/>
  <c r="D240" i="59"/>
  <c r="M239" i="59"/>
  <c r="H239" i="59"/>
  <c r="J238" i="59"/>
  <c r="M238" i="59" s="1"/>
  <c r="H238" i="59"/>
  <c r="M237" i="59"/>
  <c r="H237" i="59"/>
  <c r="K236" i="59"/>
  <c r="H236" i="59" s="1"/>
  <c r="H240" i="59" s="1"/>
  <c r="M235" i="59"/>
  <c r="H235" i="59"/>
  <c r="L234" i="59"/>
  <c r="K234" i="59"/>
  <c r="M234" i="59" s="1"/>
  <c r="J234" i="59"/>
  <c r="I234" i="59"/>
  <c r="G234" i="59"/>
  <c r="F234" i="59"/>
  <c r="E234" i="59"/>
  <c r="D234" i="59"/>
  <c r="M233" i="59"/>
  <c r="H233" i="59"/>
  <c r="M232" i="59"/>
  <c r="H232" i="59"/>
  <c r="M231" i="59"/>
  <c r="H231" i="59"/>
  <c r="M230" i="59"/>
  <c r="H230" i="59"/>
  <c r="M229" i="59"/>
  <c r="H229" i="59"/>
  <c r="H234" i="59" s="1"/>
  <c r="L228" i="59"/>
  <c r="K228" i="59"/>
  <c r="J228" i="59"/>
  <c r="M228" i="59" s="1"/>
  <c r="I228" i="59"/>
  <c r="G228" i="59"/>
  <c r="F228" i="59"/>
  <c r="E228" i="59"/>
  <c r="D228" i="59"/>
  <c r="M227" i="59"/>
  <c r="H227" i="59"/>
  <c r="M226" i="59"/>
  <c r="H226" i="59"/>
  <c r="M225" i="59"/>
  <c r="H225" i="59"/>
  <c r="M224" i="59"/>
  <c r="H224" i="59"/>
  <c r="M223" i="59"/>
  <c r="H223" i="59"/>
  <c r="H228" i="59" s="1"/>
  <c r="L222" i="59"/>
  <c r="J222" i="59"/>
  <c r="I222" i="59"/>
  <c r="G222" i="59"/>
  <c r="F222" i="59"/>
  <c r="E222" i="59"/>
  <c r="D222" i="59"/>
  <c r="K221" i="59"/>
  <c r="K245" i="59" s="1"/>
  <c r="H221" i="59"/>
  <c r="M220" i="59"/>
  <c r="H220" i="59"/>
  <c r="M219" i="59"/>
  <c r="H219" i="59"/>
  <c r="M218" i="59"/>
  <c r="H218" i="59"/>
  <c r="M217" i="59"/>
  <c r="H217" i="59"/>
  <c r="H222" i="59" s="1"/>
  <c r="L216" i="59"/>
  <c r="K216" i="59"/>
  <c r="J216" i="59"/>
  <c r="I216" i="59"/>
  <c r="F216" i="59"/>
  <c r="E216" i="59"/>
  <c r="D216" i="59"/>
  <c r="M215" i="59"/>
  <c r="H215" i="59"/>
  <c r="M214" i="59"/>
  <c r="H214" i="59"/>
  <c r="H216" i="59" s="1"/>
  <c r="G214" i="59"/>
  <c r="G216" i="59" s="1"/>
  <c r="M213" i="59"/>
  <c r="H213" i="59"/>
  <c r="M212" i="59"/>
  <c r="H212" i="59"/>
  <c r="M211" i="59"/>
  <c r="H211" i="59"/>
  <c r="M210" i="59"/>
  <c r="L210" i="59"/>
  <c r="K210" i="59"/>
  <c r="J210" i="59"/>
  <c r="I210" i="59"/>
  <c r="G210" i="59"/>
  <c r="F210" i="59"/>
  <c r="E210" i="59"/>
  <c r="D210" i="59"/>
  <c r="M209" i="59"/>
  <c r="H209" i="59"/>
  <c r="M208" i="59"/>
  <c r="H208" i="59"/>
  <c r="M207" i="59"/>
  <c r="M243" i="59" s="1"/>
  <c r="H207" i="59"/>
  <c r="M206" i="59"/>
  <c r="K206" i="59"/>
  <c r="H206" i="59"/>
  <c r="M205" i="59"/>
  <c r="H205" i="59"/>
  <c r="H210" i="59" s="1"/>
  <c r="L204" i="59"/>
  <c r="J204" i="59"/>
  <c r="I204" i="59"/>
  <c r="G204" i="59"/>
  <c r="F204" i="59"/>
  <c r="E204" i="59"/>
  <c r="D204" i="59"/>
  <c r="M203" i="59"/>
  <c r="H203" i="59"/>
  <c r="H245" i="59" s="1"/>
  <c r="M202" i="59"/>
  <c r="M244" i="59" s="1"/>
  <c r="H202" i="59"/>
  <c r="H244" i="59" s="1"/>
  <c r="M201" i="59"/>
  <c r="H201" i="59"/>
  <c r="H243" i="59" s="1"/>
  <c r="M200" i="59"/>
  <c r="K200" i="59"/>
  <c r="M199" i="59"/>
  <c r="M241" i="59" s="1"/>
  <c r="H199" i="59"/>
  <c r="H241" i="59" s="1"/>
  <c r="L196" i="59"/>
  <c r="I196" i="59"/>
  <c r="G196" i="59"/>
  <c r="F196" i="59"/>
  <c r="E196" i="59"/>
  <c r="D196" i="59"/>
  <c r="L195" i="59"/>
  <c r="K195" i="59"/>
  <c r="J195" i="59"/>
  <c r="M195" i="59" s="1"/>
  <c r="I195" i="59"/>
  <c r="G195" i="59"/>
  <c r="F195" i="59"/>
  <c r="E195" i="59"/>
  <c r="D195" i="59"/>
  <c r="L194" i="59"/>
  <c r="K194" i="59"/>
  <c r="M194" i="59" s="1"/>
  <c r="J194" i="59"/>
  <c r="I194" i="59"/>
  <c r="H194" i="59"/>
  <c r="G194" i="59"/>
  <c r="F194" i="59"/>
  <c r="E194" i="59"/>
  <c r="D194" i="59"/>
  <c r="M193" i="59"/>
  <c r="L193" i="59"/>
  <c r="K193" i="59"/>
  <c r="J193" i="59"/>
  <c r="I193" i="59"/>
  <c r="I197" i="59" s="1"/>
  <c r="G193" i="59"/>
  <c r="F193" i="59"/>
  <c r="F197" i="59" s="1"/>
  <c r="E193" i="59"/>
  <c r="D193" i="59"/>
  <c r="M192" i="59"/>
  <c r="L192" i="59"/>
  <c r="K192" i="59"/>
  <c r="J192" i="59"/>
  <c r="I192" i="59"/>
  <c r="H192" i="59"/>
  <c r="G192" i="59"/>
  <c r="G197" i="59" s="1"/>
  <c r="F192" i="59"/>
  <c r="E192" i="59"/>
  <c r="E197" i="59" s="1"/>
  <c r="D192" i="59"/>
  <c r="L191" i="59"/>
  <c r="I191" i="59"/>
  <c r="G191" i="59"/>
  <c r="F191" i="59"/>
  <c r="E191" i="59"/>
  <c r="D191" i="59"/>
  <c r="M190" i="59"/>
  <c r="K190" i="59"/>
  <c r="K191" i="59" s="1"/>
  <c r="J190" i="59"/>
  <c r="M189" i="59"/>
  <c r="H189" i="59"/>
  <c r="H195" i="59" s="1"/>
  <c r="M188" i="59"/>
  <c r="H188" i="59"/>
  <c r="M187" i="59"/>
  <c r="H187" i="59"/>
  <c r="H193" i="59" s="1"/>
  <c r="M186" i="59"/>
  <c r="H186" i="59"/>
  <c r="L184" i="59"/>
  <c r="L183" i="59"/>
  <c r="I183" i="59"/>
  <c r="G183" i="59"/>
  <c r="F183" i="59"/>
  <c r="E183" i="59"/>
  <c r="D183" i="59"/>
  <c r="M182" i="59"/>
  <c r="L182" i="59"/>
  <c r="K182" i="59"/>
  <c r="J182" i="59"/>
  <c r="I182" i="59"/>
  <c r="G182" i="59"/>
  <c r="F182" i="59"/>
  <c r="E182" i="59"/>
  <c r="D182" i="59"/>
  <c r="L181" i="59"/>
  <c r="K181" i="59"/>
  <c r="J181" i="59"/>
  <c r="M181" i="59" s="1"/>
  <c r="I181" i="59"/>
  <c r="G181" i="59"/>
  <c r="F181" i="59"/>
  <c r="E181" i="59"/>
  <c r="D181" i="59"/>
  <c r="L180" i="59"/>
  <c r="J180" i="59"/>
  <c r="I180" i="59"/>
  <c r="G180" i="59"/>
  <c r="F180" i="59"/>
  <c r="E180" i="59"/>
  <c r="E184" i="59" s="1"/>
  <c r="D180" i="59"/>
  <c r="L179" i="59"/>
  <c r="K179" i="59"/>
  <c r="J179" i="59"/>
  <c r="M179" i="59" s="1"/>
  <c r="I179" i="59"/>
  <c r="I184" i="59" s="1"/>
  <c r="H179" i="59"/>
  <c r="G179" i="59"/>
  <c r="G184" i="59" s="1"/>
  <c r="F179" i="59"/>
  <c r="F184" i="59" s="1"/>
  <c r="E179" i="59"/>
  <c r="D179" i="59"/>
  <c r="D184" i="59" s="1"/>
  <c r="L178" i="59"/>
  <c r="I178" i="59"/>
  <c r="G178" i="59"/>
  <c r="F178" i="59"/>
  <c r="E178" i="59"/>
  <c r="D178" i="59"/>
  <c r="K177" i="59"/>
  <c r="K183" i="59" s="1"/>
  <c r="J177" i="59"/>
  <c r="J178" i="59" s="1"/>
  <c r="M176" i="59"/>
  <c r="H176" i="59"/>
  <c r="H182" i="59" s="1"/>
  <c r="M175" i="59"/>
  <c r="H175" i="59"/>
  <c r="H181" i="59" s="1"/>
  <c r="K174" i="59"/>
  <c r="K180" i="59" s="1"/>
  <c r="M180" i="59" s="1"/>
  <c r="H174" i="59"/>
  <c r="H180" i="59" s="1"/>
  <c r="M173" i="59"/>
  <c r="H173" i="59"/>
  <c r="L170" i="59"/>
  <c r="K170" i="59"/>
  <c r="J170" i="59"/>
  <c r="M170" i="59" s="1"/>
  <c r="I170" i="59"/>
  <c r="G170" i="59"/>
  <c r="F170" i="59"/>
  <c r="E170" i="59"/>
  <c r="D170" i="59"/>
  <c r="L169" i="59"/>
  <c r="K169" i="59"/>
  <c r="M169" i="59" s="1"/>
  <c r="J169" i="59"/>
  <c r="I169" i="59"/>
  <c r="G169" i="59"/>
  <c r="F169" i="59"/>
  <c r="E169" i="59"/>
  <c r="D169" i="59"/>
  <c r="L168" i="59"/>
  <c r="K168" i="59"/>
  <c r="J168" i="59"/>
  <c r="M168" i="59" s="1"/>
  <c r="I168" i="59"/>
  <c r="G168" i="59"/>
  <c r="F168" i="59"/>
  <c r="E168" i="59"/>
  <c r="D168" i="59"/>
  <c r="L167" i="59"/>
  <c r="L171" i="59" s="1"/>
  <c r="I167" i="59"/>
  <c r="G167" i="59"/>
  <c r="F167" i="59"/>
  <c r="E167" i="59"/>
  <c r="D167" i="59"/>
  <c r="D171" i="59" s="1"/>
  <c r="L166" i="59"/>
  <c r="K166" i="59"/>
  <c r="K171" i="59" s="1"/>
  <c r="J166" i="59"/>
  <c r="M166" i="59" s="1"/>
  <c r="I166" i="59"/>
  <c r="I171" i="59" s="1"/>
  <c r="G166" i="59"/>
  <c r="G171" i="59" s="1"/>
  <c r="F166" i="59"/>
  <c r="F171" i="59" s="1"/>
  <c r="E166" i="59"/>
  <c r="E171" i="59" s="1"/>
  <c r="D166" i="59"/>
  <c r="L165" i="59"/>
  <c r="I165" i="59"/>
  <c r="G165" i="59"/>
  <c r="F165" i="59"/>
  <c r="E165" i="59"/>
  <c r="D165" i="59"/>
  <c r="M164" i="59"/>
  <c r="H164" i="59"/>
  <c r="M163" i="59"/>
  <c r="H163" i="59"/>
  <c r="H169" i="59" s="1"/>
  <c r="M162" i="59"/>
  <c r="H162" i="59"/>
  <c r="K161" i="59"/>
  <c r="K167" i="59" s="1"/>
  <c r="J161" i="59"/>
  <c r="M161" i="59" s="1"/>
  <c r="M160" i="59"/>
  <c r="H160" i="59"/>
  <c r="L159" i="59"/>
  <c r="K159" i="59"/>
  <c r="J159" i="59"/>
  <c r="M159" i="59" s="1"/>
  <c r="I159" i="59"/>
  <c r="G159" i="59"/>
  <c r="F159" i="59"/>
  <c r="E159" i="59"/>
  <c r="D159" i="59"/>
  <c r="M158" i="59"/>
  <c r="H158" i="59"/>
  <c r="H170" i="59" s="1"/>
  <c r="M157" i="59"/>
  <c r="H157" i="59"/>
  <c r="M156" i="59"/>
  <c r="H156" i="59"/>
  <c r="H168" i="59" s="1"/>
  <c r="M155" i="59"/>
  <c r="H155" i="59"/>
  <c r="M154" i="59"/>
  <c r="H154" i="59"/>
  <c r="H166" i="59" s="1"/>
  <c r="L151" i="59"/>
  <c r="K151" i="59"/>
  <c r="J151" i="59"/>
  <c r="I151" i="59"/>
  <c r="G151" i="59"/>
  <c r="F151" i="59"/>
  <c r="E151" i="59"/>
  <c r="D151" i="59"/>
  <c r="L150" i="59"/>
  <c r="K150" i="59"/>
  <c r="J150" i="59"/>
  <c r="I150" i="59"/>
  <c r="G150" i="59"/>
  <c r="F150" i="59"/>
  <c r="E150" i="59"/>
  <c r="D150" i="59"/>
  <c r="L149" i="59"/>
  <c r="I149" i="59"/>
  <c r="G149" i="59"/>
  <c r="F149" i="59"/>
  <c r="E149" i="59"/>
  <c r="D149" i="59"/>
  <c r="L148" i="59"/>
  <c r="K148" i="59"/>
  <c r="J148" i="59"/>
  <c r="I148" i="59"/>
  <c r="G148" i="59"/>
  <c r="F148" i="59"/>
  <c r="F152" i="59" s="1"/>
  <c r="E148" i="59"/>
  <c r="D148" i="59"/>
  <c r="L147" i="59"/>
  <c r="L152" i="59" s="1"/>
  <c r="K147" i="59"/>
  <c r="J147" i="59"/>
  <c r="I147" i="59"/>
  <c r="I152" i="59" s="1"/>
  <c r="H147" i="59"/>
  <c r="G147" i="59"/>
  <c r="G152" i="59" s="1"/>
  <c r="F147" i="59"/>
  <c r="E147" i="59"/>
  <c r="E152" i="59" s="1"/>
  <c r="D147" i="59"/>
  <c r="D152" i="59" s="1"/>
  <c r="L146" i="59"/>
  <c r="J146" i="59"/>
  <c r="I146" i="59"/>
  <c r="G146" i="59"/>
  <c r="F146" i="59"/>
  <c r="E146" i="59"/>
  <c r="D146" i="59"/>
  <c r="M145" i="59"/>
  <c r="H145" i="59"/>
  <c r="H151" i="59" s="1"/>
  <c r="M144" i="59"/>
  <c r="H144" i="59"/>
  <c r="K143" i="59"/>
  <c r="K146" i="59" s="1"/>
  <c r="J143" i="59"/>
  <c r="M143" i="59" s="1"/>
  <c r="M142" i="59"/>
  <c r="H142" i="59"/>
  <c r="M141" i="59"/>
  <c r="H141" i="59"/>
  <c r="L140" i="59"/>
  <c r="K140" i="59"/>
  <c r="M140" i="59" s="1"/>
  <c r="J140" i="59"/>
  <c r="I140" i="59"/>
  <c r="G140" i="59"/>
  <c r="F140" i="59"/>
  <c r="E140" i="59"/>
  <c r="D140" i="59"/>
  <c r="M139" i="59"/>
  <c r="H139" i="59"/>
  <c r="M138" i="59"/>
  <c r="H138" i="59"/>
  <c r="M137" i="59"/>
  <c r="H137" i="59"/>
  <c r="M136" i="59"/>
  <c r="H136" i="59"/>
  <c r="H140" i="59" s="1"/>
  <c r="M135" i="59"/>
  <c r="H135" i="59"/>
  <c r="L134" i="59"/>
  <c r="K134" i="59"/>
  <c r="M134" i="59" s="1"/>
  <c r="J134" i="59"/>
  <c r="I134" i="59"/>
  <c r="G134" i="59"/>
  <c r="F134" i="59"/>
  <c r="E134" i="59"/>
  <c r="D134" i="59"/>
  <c r="M133" i="59"/>
  <c r="H133" i="59"/>
  <c r="M132" i="59"/>
  <c r="H132" i="59"/>
  <c r="M131" i="59"/>
  <c r="H131" i="59"/>
  <c r="M130" i="59"/>
  <c r="H130" i="59"/>
  <c r="H134" i="59" s="1"/>
  <c r="M129" i="59"/>
  <c r="H129" i="59"/>
  <c r="L128" i="59"/>
  <c r="K128" i="59"/>
  <c r="M128" i="59" s="1"/>
  <c r="J128" i="59"/>
  <c r="I128" i="59"/>
  <c r="G128" i="59"/>
  <c r="F128" i="59"/>
  <c r="E128" i="59"/>
  <c r="D128" i="59"/>
  <c r="M127" i="59"/>
  <c r="H127" i="59"/>
  <c r="M126" i="59"/>
  <c r="H126" i="59"/>
  <c r="M125" i="59"/>
  <c r="H125" i="59"/>
  <c r="M124" i="59"/>
  <c r="H124" i="59"/>
  <c r="H128" i="59" s="1"/>
  <c r="M123" i="59"/>
  <c r="H123" i="59"/>
  <c r="L122" i="59"/>
  <c r="K122" i="59"/>
  <c r="M122" i="59" s="1"/>
  <c r="J122" i="59"/>
  <c r="I122" i="59"/>
  <c r="G122" i="59"/>
  <c r="F122" i="59"/>
  <c r="E122" i="59"/>
  <c r="D122" i="59"/>
  <c r="M121" i="59"/>
  <c r="H121" i="59"/>
  <c r="M120" i="59"/>
  <c r="H120" i="59"/>
  <c r="M119" i="59"/>
  <c r="H119" i="59"/>
  <c r="M118" i="59"/>
  <c r="H118" i="59"/>
  <c r="H122" i="59" s="1"/>
  <c r="M117" i="59"/>
  <c r="H117" i="59"/>
  <c r="L116" i="59"/>
  <c r="K116" i="59"/>
  <c r="M116" i="59" s="1"/>
  <c r="J116" i="59"/>
  <c r="I116" i="59"/>
  <c r="G116" i="59"/>
  <c r="F116" i="59"/>
  <c r="E116" i="59"/>
  <c r="D116" i="59"/>
  <c r="M115" i="59"/>
  <c r="M151" i="59" s="1"/>
  <c r="H115" i="59"/>
  <c r="M114" i="59"/>
  <c r="M150" i="59" s="1"/>
  <c r="H114" i="59"/>
  <c r="H150" i="59" s="1"/>
  <c r="M113" i="59"/>
  <c r="H113" i="59"/>
  <c r="M112" i="59"/>
  <c r="M148" i="59" s="1"/>
  <c r="H112" i="59"/>
  <c r="H116" i="59" s="1"/>
  <c r="M111" i="59"/>
  <c r="M147" i="59" s="1"/>
  <c r="H111" i="59"/>
  <c r="L108" i="59"/>
  <c r="K108" i="59"/>
  <c r="J108" i="59"/>
  <c r="M108" i="59" s="1"/>
  <c r="I108" i="59"/>
  <c r="G108" i="59"/>
  <c r="F108" i="59"/>
  <c r="E108" i="59"/>
  <c r="D108" i="59"/>
  <c r="L107" i="59"/>
  <c r="K107" i="59"/>
  <c r="M107" i="59" s="1"/>
  <c r="J107" i="59"/>
  <c r="I107" i="59"/>
  <c r="G107" i="59"/>
  <c r="F107" i="59"/>
  <c r="E107" i="59"/>
  <c r="D107" i="59"/>
  <c r="L106" i="59"/>
  <c r="K106" i="59"/>
  <c r="J106" i="59"/>
  <c r="M106" i="59" s="1"/>
  <c r="I106" i="59"/>
  <c r="G106" i="59"/>
  <c r="F106" i="59"/>
  <c r="E106" i="59"/>
  <c r="D106" i="59"/>
  <c r="L105" i="59"/>
  <c r="M105" i="59" s="1"/>
  <c r="K105" i="59"/>
  <c r="J105" i="59"/>
  <c r="I105" i="59"/>
  <c r="G105" i="59"/>
  <c r="F105" i="59"/>
  <c r="E105" i="59"/>
  <c r="D105" i="59"/>
  <c r="D109" i="59" s="1"/>
  <c r="L104" i="59"/>
  <c r="K104" i="59"/>
  <c r="K109" i="59" s="1"/>
  <c r="J104" i="59"/>
  <c r="M104" i="59" s="1"/>
  <c r="I104" i="59"/>
  <c r="I109" i="59" s="1"/>
  <c r="G104" i="59"/>
  <c r="G109" i="59" s="1"/>
  <c r="F104" i="59"/>
  <c r="F109" i="59" s="1"/>
  <c r="E104" i="59"/>
  <c r="E109" i="59" s="1"/>
  <c r="D104" i="59"/>
  <c r="L103" i="59"/>
  <c r="M103" i="59" s="1"/>
  <c r="K103" i="59"/>
  <c r="J103" i="59"/>
  <c r="I103" i="59"/>
  <c r="G103" i="59"/>
  <c r="F103" i="59"/>
  <c r="E103" i="59"/>
  <c r="D103" i="59"/>
  <c r="M102" i="59"/>
  <c r="H102" i="59"/>
  <c r="H108" i="59" s="1"/>
  <c r="M101" i="59"/>
  <c r="H101" i="59"/>
  <c r="H107" i="59" s="1"/>
  <c r="M100" i="59"/>
  <c r="H100" i="59"/>
  <c r="H106" i="59" s="1"/>
  <c r="M99" i="59"/>
  <c r="H99" i="59"/>
  <c r="H105" i="59" s="1"/>
  <c r="M98" i="59"/>
  <c r="H98" i="59"/>
  <c r="H104" i="59" s="1"/>
  <c r="L95" i="59"/>
  <c r="K95" i="59"/>
  <c r="J95" i="59"/>
  <c r="M95" i="59" s="1"/>
  <c r="I95" i="59"/>
  <c r="G95" i="59"/>
  <c r="F95" i="59"/>
  <c r="E95" i="59"/>
  <c r="D95" i="59"/>
  <c r="L94" i="59"/>
  <c r="J94" i="59"/>
  <c r="I94" i="59"/>
  <c r="G94" i="59"/>
  <c r="F94" i="59"/>
  <c r="E94" i="59"/>
  <c r="D94" i="59"/>
  <c r="L93" i="59"/>
  <c r="K93" i="59"/>
  <c r="I93" i="59"/>
  <c r="G93" i="59"/>
  <c r="F93" i="59"/>
  <c r="E93" i="59"/>
  <c r="D93" i="59"/>
  <c r="L92" i="59"/>
  <c r="K92" i="59"/>
  <c r="M92" i="59" s="1"/>
  <c r="J92" i="59"/>
  <c r="I92" i="59"/>
  <c r="G92" i="59"/>
  <c r="F92" i="59"/>
  <c r="E92" i="59"/>
  <c r="D92" i="59"/>
  <c r="L91" i="59"/>
  <c r="L96" i="59" s="1"/>
  <c r="K91" i="59"/>
  <c r="J91" i="59"/>
  <c r="M91" i="59" s="1"/>
  <c r="I91" i="59"/>
  <c r="I96" i="59" s="1"/>
  <c r="G91" i="59"/>
  <c r="G96" i="59" s="1"/>
  <c r="F91" i="59"/>
  <c r="F96" i="59" s="1"/>
  <c r="E91" i="59"/>
  <c r="E96" i="59" s="1"/>
  <c r="D91" i="59"/>
  <c r="D96" i="59" s="1"/>
  <c r="L90" i="59"/>
  <c r="K90" i="59"/>
  <c r="I90" i="59"/>
  <c r="H90" i="59"/>
  <c r="G90" i="59"/>
  <c r="F90" i="59"/>
  <c r="E90" i="59"/>
  <c r="D90" i="59"/>
  <c r="M89" i="59"/>
  <c r="M88" i="59"/>
  <c r="J87" i="59"/>
  <c r="M87" i="59" s="1"/>
  <c r="M90" i="59" s="1"/>
  <c r="M86" i="59"/>
  <c r="M85" i="59"/>
  <c r="L84" i="59"/>
  <c r="M84" i="59" s="1"/>
  <c r="K84" i="59"/>
  <c r="J84" i="59"/>
  <c r="I84" i="59"/>
  <c r="G84" i="59"/>
  <c r="F84" i="59"/>
  <c r="E84" i="59"/>
  <c r="D84" i="59"/>
  <c r="M83" i="59"/>
  <c r="H83" i="59"/>
  <c r="M82" i="59"/>
  <c r="H82" i="59"/>
  <c r="M81" i="59"/>
  <c r="H81" i="59"/>
  <c r="M80" i="59"/>
  <c r="H80" i="59"/>
  <c r="H84" i="59" s="1"/>
  <c r="M79" i="59"/>
  <c r="H79" i="59"/>
  <c r="L78" i="59"/>
  <c r="J78" i="59"/>
  <c r="I78" i="59"/>
  <c r="G78" i="59"/>
  <c r="F78" i="59"/>
  <c r="E78" i="59"/>
  <c r="D78" i="59"/>
  <c r="M77" i="59"/>
  <c r="H77" i="59"/>
  <c r="H95" i="59" s="1"/>
  <c r="K76" i="59"/>
  <c r="M76" i="59" s="1"/>
  <c r="M75" i="59"/>
  <c r="H75" i="59"/>
  <c r="H93" i="59" s="1"/>
  <c r="M74" i="59"/>
  <c r="H74" i="59"/>
  <c r="H92" i="59" s="1"/>
  <c r="M73" i="59"/>
  <c r="H73" i="59"/>
  <c r="H91" i="59" s="1"/>
  <c r="L70" i="59"/>
  <c r="K70" i="59"/>
  <c r="J70" i="59"/>
  <c r="I70" i="59"/>
  <c r="G70" i="59"/>
  <c r="F70" i="59"/>
  <c r="E70" i="59"/>
  <c r="D70" i="59"/>
  <c r="L69" i="59"/>
  <c r="K69" i="59"/>
  <c r="J69" i="59"/>
  <c r="I69" i="59"/>
  <c r="G69" i="59"/>
  <c r="F69" i="59"/>
  <c r="E69" i="59"/>
  <c r="D69" i="59"/>
  <c r="L68" i="59"/>
  <c r="K68" i="59"/>
  <c r="J68" i="59"/>
  <c r="I68" i="59"/>
  <c r="G68" i="59"/>
  <c r="F68" i="59"/>
  <c r="E68" i="59"/>
  <c r="D68" i="59"/>
  <c r="L67" i="59"/>
  <c r="K67" i="59"/>
  <c r="J67" i="59"/>
  <c r="J71" i="59" s="1"/>
  <c r="I67" i="59"/>
  <c r="I71" i="59" s="1"/>
  <c r="G67" i="59"/>
  <c r="F67" i="59"/>
  <c r="E67" i="59"/>
  <c r="E71" i="59" s="1"/>
  <c r="D67" i="59"/>
  <c r="L66" i="59"/>
  <c r="L71" i="59" s="1"/>
  <c r="K66" i="59"/>
  <c r="K71" i="59" s="1"/>
  <c r="J66" i="59"/>
  <c r="I66" i="59"/>
  <c r="G66" i="59"/>
  <c r="G71" i="59" s="1"/>
  <c r="F66" i="59"/>
  <c r="F71" i="59" s="1"/>
  <c r="E66" i="59"/>
  <c r="D66" i="59"/>
  <c r="D71" i="59" s="1"/>
  <c r="M65" i="59"/>
  <c r="L65" i="59"/>
  <c r="K65" i="59"/>
  <c r="J65" i="59"/>
  <c r="I65" i="59"/>
  <c r="G65" i="59"/>
  <c r="F65" i="59"/>
  <c r="E65" i="59"/>
  <c r="D65" i="59"/>
  <c r="M64" i="59"/>
  <c r="H64" i="59"/>
  <c r="M63" i="59"/>
  <c r="H63" i="59"/>
  <c r="M62" i="59"/>
  <c r="H62" i="59"/>
  <c r="M61" i="59"/>
  <c r="H61" i="59"/>
  <c r="M60" i="59"/>
  <c r="H60" i="59"/>
  <c r="H65" i="59" s="1"/>
  <c r="M59" i="59"/>
  <c r="L59" i="59"/>
  <c r="K59" i="59"/>
  <c r="J59" i="59"/>
  <c r="I59" i="59"/>
  <c r="G59" i="59"/>
  <c r="F59" i="59"/>
  <c r="E59" i="59"/>
  <c r="D59" i="59"/>
  <c r="M58" i="59"/>
  <c r="M70" i="59" s="1"/>
  <c r="H58" i="59"/>
  <c r="H70" i="59" s="1"/>
  <c r="M57" i="59"/>
  <c r="M69" i="59" s="1"/>
  <c r="H57" i="59"/>
  <c r="H69" i="59" s="1"/>
  <c r="M56" i="59"/>
  <c r="M68" i="59" s="1"/>
  <c r="H56" i="59"/>
  <c r="H68" i="59" s="1"/>
  <c r="M55" i="59"/>
  <c r="M67" i="59" s="1"/>
  <c r="H55" i="59"/>
  <c r="H67" i="59" s="1"/>
  <c r="M54" i="59"/>
  <c r="M66" i="59" s="1"/>
  <c r="H54" i="59"/>
  <c r="H66" i="59" s="1"/>
  <c r="H71" i="59" s="1"/>
  <c r="L51" i="59"/>
  <c r="K51" i="59"/>
  <c r="J51" i="59"/>
  <c r="I51" i="59"/>
  <c r="I378" i="59" s="1"/>
  <c r="G51" i="59"/>
  <c r="G378" i="59" s="1"/>
  <c r="E51" i="59"/>
  <c r="E378" i="59" s="1"/>
  <c r="D51" i="59"/>
  <c r="D378" i="59" s="1"/>
  <c r="L50" i="59"/>
  <c r="K50" i="59"/>
  <c r="J50" i="59"/>
  <c r="I50" i="59"/>
  <c r="I377" i="59" s="1"/>
  <c r="D50" i="59"/>
  <c r="D377" i="59" s="1"/>
  <c r="L49" i="59"/>
  <c r="K49" i="59"/>
  <c r="J49" i="59"/>
  <c r="I49" i="59"/>
  <c r="I376" i="59" s="1"/>
  <c r="G49" i="59"/>
  <c r="G376" i="59" s="1"/>
  <c r="F49" i="59"/>
  <c r="F376" i="59" s="1"/>
  <c r="E49" i="59"/>
  <c r="E376" i="59" s="1"/>
  <c r="L48" i="59"/>
  <c r="I48" i="59"/>
  <c r="I375" i="59" s="1"/>
  <c r="G48" i="59"/>
  <c r="G375" i="59" s="1"/>
  <c r="F48" i="59"/>
  <c r="F375" i="59" s="1"/>
  <c r="E48" i="59"/>
  <c r="E375" i="59" s="1"/>
  <c r="D48" i="59"/>
  <c r="D375" i="59" s="1"/>
  <c r="L47" i="59"/>
  <c r="L374" i="59" s="1"/>
  <c r="L379" i="59" s="1"/>
  <c r="K47" i="59"/>
  <c r="K374" i="59" s="1"/>
  <c r="J47" i="59"/>
  <c r="J374" i="59" s="1"/>
  <c r="I47" i="59"/>
  <c r="I374" i="59" s="1"/>
  <c r="G47" i="59"/>
  <c r="G374" i="59" s="1"/>
  <c r="E47" i="59"/>
  <c r="E374" i="59" s="1"/>
  <c r="D47" i="59"/>
  <c r="D374" i="59" s="1"/>
  <c r="M46" i="59"/>
  <c r="L46" i="59"/>
  <c r="K46" i="59"/>
  <c r="J46" i="59"/>
  <c r="I46" i="59"/>
  <c r="G46" i="59"/>
  <c r="F46" i="59"/>
  <c r="E46" i="59"/>
  <c r="D46" i="59"/>
  <c r="M45" i="59"/>
  <c r="H45" i="59"/>
  <c r="M44" i="59"/>
  <c r="H44" i="59"/>
  <c r="M43" i="59"/>
  <c r="H43" i="59"/>
  <c r="M42" i="59"/>
  <c r="H42" i="59"/>
  <c r="M41" i="59"/>
  <c r="H41" i="59"/>
  <c r="H46" i="59" s="1"/>
  <c r="M40" i="59"/>
  <c r="L40" i="59"/>
  <c r="K40" i="59"/>
  <c r="J40" i="59"/>
  <c r="I40" i="59"/>
  <c r="G40" i="59"/>
  <c r="E40" i="59"/>
  <c r="D40" i="59"/>
  <c r="M39" i="59"/>
  <c r="H39" i="59"/>
  <c r="M38" i="59"/>
  <c r="H38" i="59"/>
  <c r="M37" i="59"/>
  <c r="H37" i="59"/>
  <c r="M36" i="59"/>
  <c r="H36" i="59"/>
  <c r="H40" i="59" s="1"/>
  <c r="M35" i="59"/>
  <c r="H35" i="59"/>
  <c r="F35" i="59"/>
  <c r="F40" i="59" s="1"/>
  <c r="L34" i="59"/>
  <c r="K34" i="59"/>
  <c r="J34" i="59"/>
  <c r="M34" i="59" s="1"/>
  <c r="I34" i="59"/>
  <c r="M33" i="59"/>
  <c r="H33" i="59"/>
  <c r="M32" i="59"/>
  <c r="H32" i="59"/>
  <c r="G32" i="59"/>
  <c r="G34" i="59" s="1"/>
  <c r="F32" i="59"/>
  <c r="F50" i="59" s="1"/>
  <c r="E32" i="59"/>
  <c r="E50" i="59" s="1"/>
  <c r="M31" i="59"/>
  <c r="H31" i="59"/>
  <c r="D31" i="59"/>
  <c r="D49" i="59" s="1"/>
  <c r="D376" i="59" s="1"/>
  <c r="M30" i="59"/>
  <c r="H30" i="59"/>
  <c r="M29" i="59"/>
  <c r="H29" i="59"/>
  <c r="H34" i="59" s="1"/>
  <c r="L28" i="59"/>
  <c r="K28" i="59"/>
  <c r="J28" i="59"/>
  <c r="M28" i="59" s="1"/>
  <c r="I28" i="59"/>
  <c r="G28" i="59"/>
  <c r="F28" i="59"/>
  <c r="E28" i="59"/>
  <c r="D28" i="59"/>
  <c r="M27" i="59"/>
  <c r="H27" i="59"/>
  <c r="F27" i="59"/>
  <c r="F51" i="59" s="1"/>
  <c r="F378" i="59" s="1"/>
  <c r="M26" i="59"/>
  <c r="H26" i="59"/>
  <c r="M25" i="59"/>
  <c r="H25" i="59"/>
  <c r="J24" i="59"/>
  <c r="J48" i="59" s="1"/>
  <c r="H24" i="59"/>
  <c r="M23" i="59"/>
  <c r="H23" i="59"/>
  <c r="H28" i="59" s="1"/>
  <c r="L22" i="59"/>
  <c r="J22" i="59"/>
  <c r="I22" i="59"/>
  <c r="G22" i="59"/>
  <c r="F22" i="59"/>
  <c r="E22" i="59"/>
  <c r="D22" i="59"/>
  <c r="M21" i="59"/>
  <c r="H21" i="59"/>
  <c r="M20" i="59"/>
  <c r="H20" i="59"/>
  <c r="M19" i="59"/>
  <c r="H19" i="59"/>
  <c r="K18" i="59"/>
  <c r="M17" i="59"/>
  <c r="H17" i="59"/>
  <c r="L16" i="59"/>
  <c r="J16" i="59"/>
  <c r="I16" i="59"/>
  <c r="G16" i="59"/>
  <c r="F16" i="59"/>
  <c r="E16" i="59"/>
  <c r="D16" i="59"/>
  <c r="M15" i="59"/>
  <c r="M51" i="59" s="1"/>
  <c r="H15" i="59"/>
  <c r="H51" i="59" s="1"/>
  <c r="M14" i="59"/>
  <c r="M50" i="59" s="1"/>
  <c r="H14" i="59"/>
  <c r="H50" i="59" s="1"/>
  <c r="M13" i="59"/>
  <c r="M49" i="59" s="1"/>
  <c r="H13" i="59"/>
  <c r="H49" i="59" s="1"/>
  <c r="M12" i="59"/>
  <c r="K12" i="59"/>
  <c r="K48" i="59" s="1"/>
  <c r="M11" i="59"/>
  <c r="M47" i="59" s="1"/>
  <c r="H11" i="59"/>
  <c r="J78" i="58" l="1"/>
  <c r="M109" i="59"/>
  <c r="M152" i="59"/>
  <c r="M149" i="59"/>
  <c r="M146" i="59"/>
  <c r="J152" i="59"/>
  <c r="K184" i="59"/>
  <c r="M18" i="59"/>
  <c r="M48" i="59" s="1"/>
  <c r="M52" i="59" s="1"/>
  <c r="K22" i="59"/>
  <c r="M22" i="59" s="1"/>
  <c r="H18" i="59"/>
  <c r="H22" i="59" s="1"/>
  <c r="M71" i="59"/>
  <c r="H109" i="59"/>
  <c r="K197" i="59"/>
  <c r="H271" i="59"/>
  <c r="F377" i="59"/>
  <c r="H47" i="59"/>
  <c r="H16" i="59"/>
  <c r="H12" i="59"/>
  <c r="H48" i="59" s="1"/>
  <c r="K16" i="59"/>
  <c r="M16" i="59" s="1"/>
  <c r="M24" i="59"/>
  <c r="D34" i="59"/>
  <c r="I379" i="59"/>
  <c r="G50" i="59"/>
  <c r="G377" i="59" s="1"/>
  <c r="G379" i="59" s="1"/>
  <c r="K52" i="59"/>
  <c r="J90" i="59"/>
  <c r="J109" i="59"/>
  <c r="H143" i="59"/>
  <c r="H149" i="59" s="1"/>
  <c r="H376" i="59" s="1"/>
  <c r="H148" i="59"/>
  <c r="H152" i="59" s="1"/>
  <c r="J149" i="59"/>
  <c r="H159" i="59"/>
  <c r="H161" i="59"/>
  <c r="H167" i="59" s="1"/>
  <c r="H171" i="59" s="1"/>
  <c r="J165" i="59"/>
  <c r="M165" i="59" s="1"/>
  <c r="J167" i="59"/>
  <c r="M167" i="59" s="1"/>
  <c r="J171" i="59"/>
  <c r="M171" i="59" s="1"/>
  <c r="M174" i="59"/>
  <c r="M177" i="59"/>
  <c r="K178" i="59"/>
  <c r="M178" i="59" s="1"/>
  <c r="J183" i="59"/>
  <c r="M183" i="59" s="1"/>
  <c r="H191" i="59"/>
  <c r="J196" i="59"/>
  <c r="M196" i="59" s="1"/>
  <c r="H190" i="59"/>
  <c r="H196" i="59" s="1"/>
  <c r="J191" i="59"/>
  <c r="M191" i="59" s="1"/>
  <c r="D197" i="59"/>
  <c r="H197" i="59"/>
  <c r="L197" i="59"/>
  <c r="K196" i="59"/>
  <c r="K378" i="59" s="1"/>
  <c r="K204" i="59"/>
  <c r="M204" i="59" s="1"/>
  <c r="H200" i="59"/>
  <c r="H242" i="59" s="1"/>
  <c r="H246" i="59" s="1"/>
  <c r="M221" i="59"/>
  <c r="M245" i="59" s="1"/>
  <c r="K242" i="59"/>
  <c r="K375" i="59" s="1"/>
  <c r="M265" i="59"/>
  <c r="E271" i="59"/>
  <c r="I271" i="59"/>
  <c r="M266" i="59"/>
  <c r="J268" i="59"/>
  <c r="M268" i="59" s="1"/>
  <c r="F284" i="59"/>
  <c r="M297" i="59"/>
  <c r="F34" i="59"/>
  <c r="E34" i="59"/>
  <c r="F47" i="59"/>
  <c r="M374" i="59"/>
  <c r="D52" i="59"/>
  <c r="L52" i="59"/>
  <c r="H59" i="59"/>
  <c r="H76" i="59"/>
  <c r="K78" i="59"/>
  <c r="M78" i="59" s="1"/>
  <c r="K94" i="59"/>
  <c r="M94" i="59" s="1"/>
  <c r="K149" i="59"/>
  <c r="K152" i="59" s="1"/>
  <c r="K165" i="59"/>
  <c r="H177" i="59"/>
  <c r="H183" i="59" s="1"/>
  <c r="H378" i="59" s="1"/>
  <c r="H178" i="59"/>
  <c r="J184" i="59"/>
  <c r="M184" i="59" s="1"/>
  <c r="K240" i="59"/>
  <c r="M259" i="59"/>
  <c r="H278" i="59"/>
  <c r="H322" i="59"/>
  <c r="M361" i="59"/>
  <c r="M359" i="59"/>
  <c r="K376" i="59"/>
  <c r="E52" i="59"/>
  <c r="I52" i="59"/>
  <c r="J93" i="59"/>
  <c r="M93" i="59" s="1"/>
  <c r="H103" i="59"/>
  <c r="L109" i="59"/>
  <c r="J253" i="59"/>
  <c r="M287" i="59"/>
  <c r="J299" i="59"/>
  <c r="M299" i="59" s="1"/>
  <c r="J291" i="59"/>
  <c r="M291" i="59" s="1"/>
  <c r="H287" i="59"/>
  <c r="H299" i="59" s="1"/>
  <c r="D379" i="59"/>
  <c r="J52" i="59"/>
  <c r="M216" i="59"/>
  <c r="K222" i="59"/>
  <c r="M222" i="59" s="1"/>
  <c r="M236" i="59"/>
  <c r="M242" i="59" s="1"/>
  <c r="M246" i="59" s="1"/>
  <c r="J244" i="59"/>
  <c r="J377" i="59" s="1"/>
  <c r="J240" i="59"/>
  <c r="M240" i="59" s="1"/>
  <c r="M253" i="59"/>
  <c r="M250" i="59"/>
  <c r="H259" i="59"/>
  <c r="J283" i="59"/>
  <c r="M283" i="59" s="1"/>
  <c r="M277" i="59"/>
  <c r="J278" i="59"/>
  <c r="M278" i="59" s="1"/>
  <c r="M322" i="59"/>
  <c r="M279" i="59"/>
  <c r="L322" i="59"/>
  <c r="M324" i="59"/>
  <c r="M360" i="59" s="1"/>
  <c r="K329" i="59"/>
  <c r="M346" i="59"/>
  <c r="M347" i="59" s="1"/>
  <c r="K347" i="59"/>
  <c r="E363" i="59"/>
  <c r="E377" i="59" s="1"/>
  <c r="E379" i="59" s="1"/>
  <c r="H298" i="59"/>
  <c r="H303" i="59" s="1"/>
  <c r="E316" i="59"/>
  <c r="M318" i="59"/>
  <c r="H329" i="59"/>
  <c r="H349" i="59"/>
  <c r="H353" i="59" s="1"/>
  <c r="K353" i="59"/>
  <c r="F363" i="59"/>
  <c r="K361" i="59"/>
  <c r="M377" i="59" l="1"/>
  <c r="O377" i="59" s="1"/>
  <c r="K379" i="59"/>
  <c r="M364" i="59"/>
  <c r="O374" i="59"/>
  <c r="H365" i="59"/>
  <c r="J246" i="59"/>
  <c r="H361" i="59"/>
  <c r="J284" i="59"/>
  <c r="M284" i="59" s="1"/>
  <c r="G52" i="59"/>
  <c r="H374" i="59"/>
  <c r="H52" i="59"/>
  <c r="K246" i="59"/>
  <c r="H184" i="59"/>
  <c r="H146" i="59"/>
  <c r="H94" i="59"/>
  <c r="H78" i="59"/>
  <c r="J378" i="59"/>
  <c r="M378" i="59" s="1"/>
  <c r="O378" i="59" s="1"/>
  <c r="F374" i="59"/>
  <c r="F379" i="59" s="1"/>
  <c r="F52" i="59"/>
  <c r="J303" i="59"/>
  <c r="M303" i="59" s="1"/>
  <c r="H204" i="59"/>
  <c r="J96" i="59"/>
  <c r="M96" i="59" s="1"/>
  <c r="K377" i="59"/>
  <c r="J271" i="59"/>
  <c r="M271" i="59" s="1"/>
  <c r="J375" i="59"/>
  <c r="J376" i="59"/>
  <c r="M376" i="59" s="1"/>
  <c r="O376" i="59" s="1"/>
  <c r="J197" i="59"/>
  <c r="M197" i="59" s="1"/>
  <c r="K96" i="59"/>
  <c r="H165" i="59"/>
  <c r="K365" i="59"/>
  <c r="M329" i="59"/>
  <c r="M365" i="59" s="1"/>
  <c r="H291" i="59"/>
  <c r="H375" i="59"/>
  <c r="H377" i="59" l="1"/>
  <c r="H96" i="59"/>
  <c r="H379" i="59"/>
  <c r="M375" i="59"/>
  <c r="J379" i="59"/>
  <c r="O375" i="59" l="1"/>
  <c r="M379" i="59"/>
  <c r="N381" i="59" l="1"/>
  <c r="O379" i="59"/>
  <c r="H78" i="58" l="1"/>
  <c r="E78" i="58"/>
  <c r="S37" i="58"/>
  <c r="G78" i="58"/>
  <c r="I44" i="58"/>
  <c r="J44" i="58"/>
  <c r="L44" i="58"/>
  <c r="N44" i="58"/>
  <c r="O44" i="58"/>
  <c r="M43" i="58"/>
  <c r="M44" i="58" s="1"/>
  <c r="H43" i="58"/>
  <c r="H44" i="58" s="1"/>
  <c r="G43" i="58"/>
  <c r="G44" i="58" s="1"/>
  <c r="F44" i="58"/>
  <c r="E44" i="58"/>
  <c r="D44" i="58"/>
  <c r="C44" i="58"/>
  <c r="N9" i="58"/>
  <c r="O9" i="58"/>
  <c r="G67" i="58"/>
  <c r="L66" i="58"/>
  <c r="G66" i="58"/>
  <c r="J64" i="58"/>
  <c r="N63" i="58"/>
  <c r="M63" i="58"/>
  <c r="H63" i="58"/>
  <c r="O60" i="58"/>
  <c r="I60" i="58"/>
  <c r="H59" i="58"/>
  <c r="G59" i="58"/>
  <c r="G52" i="58"/>
  <c r="I52" i="58"/>
  <c r="J52" i="58"/>
  <c r="L52" i="58"/>
  <c r="O52" i="58"/>
  <c r="N51" i="58"/>
  <c r="N52" i="58" s="1"/>
  <c r="M51" i="58"/>
  <c r="M52" i="58" s="1"/>
  <c r="H51" i="58"/>
  <c r="H52" i="58" s="1"/>
  <c r="E52" i="58"/>
  <c r="D52" i="58"/>
  <c r="C52" i="58"/>
  <c r="I57" i="58"/>
  <c r="J57" i="58"/>
  <c r="N57" i="58"/>
  <c r="O57" i="58"/>
  <c r="M48" i="58"/>
  <c r="M47" i="58"/>
  <c r="L47" i="58"/>
  <c r="N46" i="58"/>
  <c r="M46" i="58"/>
  <c r="O38" i="58"/>
  <c r="J38" i="58"/>
  <c r="I38" i="58"/>
  <c r="O36" i="58"/>
  <c r="J36" i="58"/>
  <c r="I36" i="58"/>
  <c r="J32" i="58"/>
  <c r="M29" i="58"/>
  <c r="G25" i="58"/>
  <c r="J27" i="58"/>
  <c r="N27" i="58"/>
  <c r="O23" i="58"/>
  <c r="I23" i="58"/>
  <c r="M22" i="58"/>
  <c r="G22" i="58"/>
  <c r="M19" i="58"/>
  <c r="H19" i="58"/>
  <c r="G19" i="58"/>
  <c r="N18" i="58"/>
  <c r="M18" i="58"/>
  <c r="H18" i="58"/>
  <c r="G18" i="58"/>
  <c r="O17" i="58"/>
  <c r="J17" i="58"/>
  <c r="O64" i="58"/>
  <c r="Q43" i="58" l="1"/>
  <c r="S43" i="58" s="1"/>
  <c r="C57" i="58"/>
  <c r="C68" i="58"/>
  <c r="E57" i="58"/>
  <c r="Q51" i="58"/>
  <c r="D57" i="58"/>
  <c r="G57" i="58"/>
  <c r="F57" i="58"/>
  <c r="C49" i="58"/>
  <c r="E27" i="58"/>
  <c r="F27" i="58"/>
  <c r="D27" i="58"/>
  <c r="G27" i="58"/>
  <c r="C27" i="58"/>
  <c r="C20" i="58"/>
  <c r="L14" i="58"/>
  <c r="G14" i="58"/>
  <c r="L13" i="58"/>
  <c r="N11" i="58"/>
  <c r="M10" i="58"/>
  <c r="H10" i="58"/>
  <c r="H11" i="58" s="1"/>
  <c r="O11" i="58"/>
  <c r="J11" i="58"/>
  <c r="I11" i="58"/>
  <c r="G8" i="58"/>
  <c r="G63" i="58"/>
  <c r="L56" i="58"/>
  <c r="Q56" i="58" s="1"/>
  <c r="S56" i="58" s="1"/>
  <c r="H26" i="58"/>
  <c r="H27" i="58" s="1"/>
  <c r="M25" i="58"/>
  <c r="M14" i="58"/>
  <c r="Q52" i="58" l="1"/>
  <c r="S51" i="58"/>
  <c r="Q44" i="58"/>
  <c r="Q10" i="58"/>
  <c r="D11" i="58"/>
  <c r="J71" i="57" l="1"/>
  <c r="G13" i="58"/>
  <c r="G15" i="58" s="1"/>
  <c r="M13" i="58"/>
  <c r="Q66" i="58"/>
  <c r="S66" i="58" s="1"/>
  <c r="M65" i="58"/>
  <c r="L65" i="58"/>
  <c r="G65" i="58"/>
  <c r="J68" i="58"/>
  <c r="N64" i="58"/>
  <c r="N68" i="58" s="1"/>
  <c r="M64" i="58"/>
  <c r="H64" i="58"/>
  <c r="H68" i="58" s="1"/>
  <c r="J61" i="58"/>
  <c r="O61" i="58"/>
  <c r="N60" i="58"/>
  <c r="N61" i="58" s="1"/>
  <c r="M60" i="58"/>
  <c r="I61" i="58"/>
  <c r="H60" i="58"/>
  <c r="H61" i="58" s="1"/>
  <c r="L59" i="58"/>
  <c r="L61" i="58" s="1"/>
  <c r="G61" i="58"/>
  <c r="C61" i="58"/>
  <c r="M55" i="58"/>
  <c r="M57" i="58" s="1"/>
  <c r="H55" i="58"/>
  <c r="H57" i="58" s="1"/>
  <c r="N49" i="58"/>
  <c r="O46" i="58"/>
  <c r="O49" i="58" s="1"/>
  <c r="M49" i="58"/>
  <c r="J46" i="58"/>
  <c r="J49" i="58" s="1"/>
  <c r="I46" i="58"/>
  <c r="I49" i="58" s="1"/>
  <c r="M39" i="58"/>
  <c r="H39" i="58"/>
  <c r="H41" i="58" s="1"/>
  <c r="N41" i="58"/>
  <c r="M38" i="58"/>
  <c r="L38" i="58"/>
  <c r="G38" i="58"/>
  <c r="G41" i="58" s="1"/>
  <c r="J41" i="58"/>
  <c r="N33" i="58"/>
  <c r="M33" i="58"/>
  <c r="H33" i="58"/>
  <c r="G33" i="58"/>
  <c r="O33" i="58"/>
  <c r="L32" i="58"/>
  <c r="L33" i="58" s="1"/>
  <c r="J33" i="58"/>
  <c r="I32" i="58"/>
  <c r="I33" i="58" s="1"/>
  <c r="F33" i="58"/>
  <c r="E33" i="58"/>
  <c r="D33" i="58"/>
  <c r="C33" i="58"/>
  <c r="O30" i="58"/>
  <c r="N30" i="58"/>
  <c r="M30" i="58"/>
  <c r="J30" i="58"/>
  <c r="I30" i="58"/>
  <c r="H30" i="58"/>
  <c r="O22" i="58"/>
  <c r="O27" i="58" s="1"/>
  <c r="I22" i="58"/>
  <c r="I27" i="58" s="1"/>
  <c r="L20" i="58"/>
  <c r="J20" i="58"/>
  <c r="N20" i="58"/>
  <c r="I18" i="58"/>
  <c r="M17" i="58"/>
  <c r="G17" i="58"/>
  <c r="O15" i="58"/>
  <c r="N15" i="58"/>
  <c r="J15" i="58"/>
  <c r="I15" i="58"/>
  <c r="H15" i="58"/>
  <c r="F15" i="58"/>
  <c r="D15" i="58"/>
  <c r="M9" i="58"/>
  <c r="M11" i="58" s="1"/>
  <c r="G9" i="58"/>
  <c r="G11" i="58" s="1"/>
  <c r="U1" i="58"/>
  <c r="T1" i="58"/>
  <c r="N69" i="58" l="1"/>
  <c r="D76" i="58" s="1"/>
  <c r="J69" i="58"/>
  <c r="C77" i="58" s="1"/>
  <c r="M41" i="58"/>
  <c r="I68" i="58"/>
  <c r="T64" i="58"/>
  <c r="Q24" i="58"/>
  <c r="S24" i="58" s="1"/>
  <c r="Q9" i="58"/>
  <c r="S9" i="58" s="1"/>
  <c r="E49" i="58"/>
  <c r="Q47" i="58"/>
  <c r="S47" i="58" s="1"/>
  <c r="D49" i="58"/>
  <c r="F49" i="58"/>
  <c r="F20" i="58"/>
  <c r="F30" i="58"/>
  <c r="I41" i="58"/>
  <c r="G68" i="58"/>
  <c r="U64" i="58"/>
  <c r="L15" i="58"/>
  <c r="E15" i="58"/>
  <c r="Q19" i="58"/>
  <c r="S19" i="58" s="1"/>
  <c r="C30" i="58"/>
  <c r="D41" i="58"/>
  <c r="Q36" i="58"/>
  <c r="S36" i="58" s="1"/>
  <c r="G49" i="58"/>
  <c r="F68" i="58"/>
  <c r="M68" i="58"/>
  <c r="M15" i="58"/>
  <c r="E30" i="58"/>
  <c r="E41" i="58"/>
  <c r="M20" i="58"/>
  <c r="T18" i="58"/>
  <c r="O68" i="58"/>
  <c r="C15" i="58"/>
  <c r="G20" i="58"/>
  <c r="E20" i="58"/>
  <c r="D30" i="58"/>
  <c r="F41" i="58"/>
  <c r="D20" i="58"/>
  <c r="H20" i="58"/>
  <c r="O20" i="58"/>
  <c r="T26" i="58"/>
  <c r="D68" i="58"/>
  <c r="Q63" i="58"/>
  <c r="S63" i="58" s="1"/>
  <c r="T36" i="58"/>
  <c r="D61" i="58"/>
  <c r="Q38" i="58"/>
  <c r="S38" i="58" s="1"/>
  <c r="U8" i="58"/>
  <c r="U22" i="58"/>
  <c r="U32" i="58"/>
  <c r="U59" i="58"/>
  <c r="Q60" i="58"/>
  <c r="S60" i="58" s="1"/>
  <c r="U63" i="58"/>
  <c r="Q64" i="58"/>
  <c r="S64" i="58" s="1"/>
  <c r="U60" i="58"/>
  <c r="U26" i="58"/>
  <c r="U18" i="58"/>
  <c r="U17" i="58"/>
  <c r="U13" i="58"/>
  <c r="Q14" i="58"/>
  <c r="S14" i="58" s="1"/>
  <c r="Q18" i="58"/>
  <c r="S18" i="58" s="1"/>
  <c r="Q39" i="58"/>
  <c r="S39" i="58" s="1"/>
  <c r="U6" i="58"/>
  <c r="Q13" i="58"/>
  <c r="S13" i="58" s="1"/>
  <c r="T13" i="58"/>
  <c r="I20" i="58"/>
  <c r="T17" i="58"/>
  <c r="Q22" i="58"/>
  <c r="S22" i="58" s="1"/>
  <c r="Q23" i="58"/>
  <c r="S23" i="58" s="1"/>
  <c r="Q32" i="58"/>
  <c r="S32" i="58" s="1"/>
  <c r="U38" i="58"/>
  <c r="O41" i="58"/>
  <c r="U46" i="58"/>
  <c r="Q65" i="58"/>
  <c r="S65" i="58" s="1"/>
  <c r="Q17" i="58"/>
  <c r="S17" i="58" s="1"/>
  <c r="T22" i="58"/>
  <c r="T32" i="58"/>
  <c r="T6" i="58"/>
  <c r="T8" i="58"/>
  <c r="T38" i="58"/>
  <c r="T46" i="58"/>
  <c r="T60" i="58"/>
  <c r="T63" i="58"/>
  <c r="I69" i="58" l="1"/>
  <c r="C76" i="58" s="1"/>
  <c r="F76" i="58" s="1"/>
  <c r="L76" i="58" s="1"/>
  <c r="D69" i="58"/>
  <c r="O69" i="58"/>
  <c r="D77" i="58" s="1"/>
  <c r="F77" i="58" s="1"/>
  <c r="L77" i="58" s="1"/>
  <c r="V63" i="58"/>
  <c r="W63" i="58"/>
  <c r="W36" i="58"/>
  <c r="V36" i="58"/>
  <c r="W17" i="58"/>
  <c r="Q20" i="58"/>
  <c r="V17" i="58"/>
  <c r="W13" i="58"/>
  <c r="Q15" i="58"/>
  <c r="V13" i="58"/>
  <c r="V32" i="58"/>
  <c r="Q33" i="58"/>
  <c r="W32" i="58"/>
  <c r="W18" i="58"/>
  <c r="V18" i="58"/>
  <c r="V60" i="58"/>
  <c r="W60" i="58"/>
  <c r="V22" i="58"/>
  <c r="W22" i="58"/>
  <c r="W9" i="58"/>
  <c r="V9" i="58"/>
  <c r="V64" i="58"/>
  <c r="W64" i="58"/>
  <c r="V38" i="58"/>
  <c r="W38" i="58"/>
  <c r="M59" i="58"/>
  <c r="Q59" i="58" l="1"/>
  <c r="M61" i="58"/>
  <c r="X63" i="58"/>
  <c r="Y63" i="58" s="1"/>
  <c r="X32" i="58"/>
  <c r="Y32" i="58" s="1"/>
  <c r="X18" i="58"/>
  <c r="Y18" i="58" s="1"/>
  <c r="X22" i="58"/>
  <c r="Y22" i="58" s="1"/>
  <c r="X38" i="58"/>
  <c r="Y38" i="58" s="1"/>
  <c r="X60" i="58"/>
  <c r="Y60" i="58" s="1"/>
  <c r="X13" i="58"/>
  <c r="Y13" i="58" s="1"/>
  <c r="X64" i="58"/>
  <c r="Y64" i="58" s="1"/>
  <c r="X17" i="58"/>
  <c r="Y17" i="58" s="1"/>
  <c r="G29" i="58" l="1"/>
  <c r="L29" i="58"/>
  <c r="L30" i="58" s="1"/>
  <c r="S59" i="58"/>
  <c r="Q61" i="58"/>
  <c r="W59" i="58"/>
  <c r="V59" i="58"/>
  <c r="X59" i="58" l="1"/>
  <c r="G30" i="58"/>
  <c r="G69" i="58" s="1"/>
  <c r="C74" i="58" s="1"/>
  <c r="Q29" i="58"/>
  <c r="M416" i="57"/>
  <c r="L402" i="57"/>
  <c r="K402" i="57"/>
  <c r="J402" i="57"/>
  <c r="I402" i="57"/>
  <c r="G402" i="57"/>
  <c r="F402" i="57"/>
  <c r="D402" i="57"/>
  <c r="M401" i="57"/>
  <c r="H401" i="57"/>
  <c r="M400" i="57"/>
  <c r="H400" i="57"/>
  <c r="M399" i="57"/>
  <c r="H399" i="57"/>
  <c r="M398" i="57"/>
  <c r="H398" i="57"/>
  <c r="H397" i="57"/>
  <c r="L396" i="57"/>
  <c r="I396" i="57"/>
  <c r="G396" i="57"/>
  <c r="F396" i="57"/>
  <c r="E396" i="57"/>
  <c r="D396" i="57"/>
  <c r="M395" i="57"/>
  <c r="H395" i="57"/>
  <c r="M394" i="57"/>
  <c r="H394" i="57"/>
  <c r="M393" i="57"/>
  <c r="H393" i="57"/>
  <c r="L390" i="57"/>
  <c r="J390" i="57"/>
  <c r="I390" i="57"/>
  <c r="G390" i="57"/>
  <c r="F390" i="57"/>
  <c r="E390" i="57"/>
  <c r="D390" i="57"/>
  <c r="M389" i="57"/>
  <c r="H389" i="57"/>
  <c r="M388" i="57"/>
  <c r="H388" i="57"/>
  <c r="M387" i="57"/>
  <c r="H387" i="57"/>
  <c r="M386" i="57"/>
  <c r="H386" i="57"/>
  <c r="K390" i="57"/>
  <c r="L369" i="57"/>
  <c r="K369" i="57"/>
  <c r="J369" i="57"/>
  <c r="I369" i="57"/>
  <c r="G369" i="57"/>
  <c r="F369" i="57"/>
  <c r="E369" i="57"/>
  <c r="D369" i="57"/>
  <c r="L368" i="57"/>
  <c r="K368" i="57"/>
  <c r="J368" i="57"/>
  <c r="I368" i="57"/>
  <c r="G368" i="57"/>
  <c r="F368" i="57"/>
  <c r="D368" i="57"/>
  <c r="L367" i="57"/>
  <c r="K367" i="57"/>
  <c r="J367" i="57"/>
  <c r="I367" i="57"/>
  <c r="G367" i="57"/>
  <c r="F367" i="57"/>
  <c r="E367" i="57"/>
  <c r="D367" i="57"/>
  <c r="L366" i="57"/>
  <c r="K366" i="57"/>
  <c r="J366" i="57"/>
  <c r="I366" i="57"/>
  <c r="G366" i="57"/>
  <c r="F366" i="57"/>
  <c r="E366" i="57"/>
  <c r="D366" i="57"/>
  <c r="L365" i="57"/>
  <c r="K365" i="57"/>
  <c r="J365" i="57"/>
  <c r="I365" i="57"/>
  <c r="G365" i="57"/>
  <c r="F365" i="57"/>
  <c r="E365" i="57"/>
  <c r="D365" i="57"/>
  <c r="L364" i="57"/>
  <c r="K364" i="57"/>
  <c r="J364" i="57"/>
  <c r="I364" i="57"/>
  <c r="G364" i="57"/>
  <c r="F364" i="57"/>
  <c r="D364" i="57"/>
  <c r="M363" i="57"/>
  <c r="H363" i="57"/>
  <c r="M362" i="57"/>
  <c r="H362" i="57"/>
  <c r="M361" i="57"/>
  <c r="H361" i="57"/>
  <c r="M360" i="57"/>
  <c r="H360" i="57"/>
  <c r="M359" i="57"/>
  <c r="H359" i="57"/>
  <c r="L358" i="57"/>
  <c r="K358" i="57"/>
  <c r="J358" i="57"/>
  <c r="I358" i="57"/>
  <c r="G358" i="57"/>
  <c r="F358" i="57"/>
  <c r="E358" i="57"/>
  <c r="D358" i="57"/>
  <c r="M357" i="57"/>
  <c r="H357" i="57"/>
  <c r="M356" i="57"/>
  <c r="H356" i="57"/>
  <c r="M355" i="57"/>
  <c r="H355" i="57"/>
  <c r="M354" i="57"/>
  <c r="H354" i="57"/>
  <c r="M353" i="57"/>
  <c r="H353" i="57"/>
  <c r="L337" i="57"/>
  <c r="I337" i="57"/>
  <c r="G337" i="57"/>
  <c r="F337" i="57"/>
  <c r="E337" i="57"/>
  <c r="D337" i="57"/>
  <c r="L336" i="57"/>
  <c r="K336" i="57"/>
  <c r="J336" i="57"/>
  <c r="I336" i="57"/>
  <c r="G336" i="57"/>
  <c r="F336" i="57"/>
  <c r="E336" i="57"/>
  <c r="D336" i="57"/>
  <c r="L335" i="57"/>
  <c r="K335" i="57"/>
  <c r="J335" i="57"/>
  <c r="I335" i="57"/>
  <c r="G335" i="57"/>
  <c r="F335" i="57"/>
  <c r="E335" i="57"/>
  <c r="D335" i="57"/>
  <c r="L334" i="57"/>
  <c r="K334" i="57"/>
  <c r="J334" i="57"/>
  <c r="I334" i="57"/>
  <c r="G334" i="57"/>
  <c r="F334" i="57"/>
  <c r="E334" i="57"/>
  <c r="D334" i="57"/>
  <c r="L333" i="57"/>
  <c r="K333" i="57"/>
  <c r="J333" i="57"/>
  <c r="I333" i="57"/>
  <c r="G333" i="57"/>
  <c r="F333" i="57"/>
  <c r="F338" i="57" s="1"/>
  <c r="E333" i="57"/>
  <c r="D333" i="57"/>
  <c r="L332" i="57"/>
  <c r="I332" i="57"/>
  <c r="G332" i="57"/>
  <c r="F332" i="57"/>
  <c r="F52" i="58" s="1"/>
  <c r="E332" i="57"/>
  <c r="D332" i="57"/>
  <c r="K331" i="57"/>
  <c r="K337" i="57" s="1"/>
  <c r="J331" i="57"/>
  <c r="J337" i="57" s="1"/>
  <c r="M330" i="57"/>
  <c r="H330" i="57"/>
  <c r="H336" i="57" s="1"/>
  <c r="M329" i="57"/>
  <c r="H329" i="57"/>
  <c r="H335" i="57" s="1"/>
  <c r="M328" i="57"/>
  <c r="H328" i="57"/>
  <c r="H334" i="57" s="1"/>
  <c r="M327" i="57"/>
  <c r="H327" i="57"/>
  <c r="L324" i="57"/>
  <c r="K324" i="57"/>
  <c r="J324" i="57"/>
  <c r="I324" i="57"/>
  <c r="G324" i="57"/>
  <c r="F324" i="57"/>
  <c r="E324" i="57"/>
  <c r="D324" i="57"/>
  <c r="L323" i="57"/>
  <c r="K323" i="57"/>
  <c r="J323" i="57"/>
  <c r="I323" i="57"/>
  <c r="G323" i="57"/>
  <c r="F323" i="57"/>
  <c r="E323" i="57"/>
  <c r="D323" i="57"/>
  <c r="L322" i="57"/>
  <c r="K322" i="57"/>
  <c r="I322" i="57"/>
  <c r="G322" i="57"/>
  <c r="F322" i="57"/>
  <c r="E322" i="57"/>
  <c r="D322" i="57"/>
  <c r="L321" i="57"/>
  <c r="J321" i="57"/>
  <c r="I321" i="57"/>
  <c r="G321" i="57"/>
  <c r="F321" i="57"/>
  <c r="E321" i="57"/>
  <c r="D321" i="57"/>
  <c r="L320" i="57"/>
  <c r="K320" i="57"/>
  <c r="J320" i="57"/>
  <c r="I320" i="57"/>
  <c r="G320" i="57"/>
  <c r="F320" i="57"/>
  <c r="E320" i="57"/>
  <c r="D320" i="57"/>
  <c r="L319" i="57"/>
  <c r="J319" i="57"/>
  <c r="I319" i="57"/>
  <c r="G319" i="57"/>
  <c r="F319" i="57"/>
  <c r="E319" i="57"/>
  <c r="D319" i="57"/>
  <c r="M318" i="57"/>
  <c r="H318" i="57"/>
  <c r="M317" i="57"/>
  <c r="H317" i="57"/>
  <c r="M316" i="57"/>
  <c r="H316" i="57"/>
  <c r="M314" i="57"/>
  <c r="H314" i="57"/>
  <c r="L313" i="57"/>
  <c r="K313" i="57"/>
  <c r="J313" i="57"/>
  <c r="I313" i="57"/>
  <c r="G313" i="57"/>
  <c r="F313" i="57"/>
  <c r="E313" i="57"/>
  <c r="D313" i="57"/>
  <c r="M312" i="57"/>
  <c r="H312" i="57"/>
  <c r="M311" i="57"/>
  <c r="H311" i="57"/>
  <c r="M310" i="57"/>
  <c r="H310" i="57"/>
  <c r="M309" i="57"/>
  <c r="H309" i="57"/>
  <c r="M308" i="57"/>
  <c r="H308" i="57"/>
  <c r="L307" i="57"/>
  <c r="K307" i="57"/>
  <c r="I307" i="57"/>
  <c r="G307" i="57"/>
  <c r="F307" i="57"/>
  <c r="E307" i="57"/>
  <c r="D307" i="57"/>
  <c r="M306" i="57"/>
  <c r="H306" i="57"/>
  <c r="M305" i="57"/>
  <c r="H305" i="57"/>
  <c r="H323" i="57" s="1"/>
  <c r="M303" i="57"/>
  <c r="H303" i="57"/>
  <c r="M302" i="57"/>
  <c r="H302" i="57"/>
  <c r="L299" i="57"/>
  <c r="J299" i="57"/>
  <c r="I299" i="57"/>
  <c r="G299" i="57"/>
  <c r="F299" i="57"/>
  <c r="E299" i="57"/>
  <c r="D299" i="57"/>
  <c r="L298" i="57"/>
  <c r="J298" i="57"/>
  <c r="I298" i="57"/>
  <c r="F298" i="57"/>
  <c r="E298" i="57"/>
  <c r="D298" i="57"/>
  <c r="L297" i="57"/>
  <c r="J297" i="57"/>
  <c r="I297" i="57"/>
  <c r="G297" i="57"/>
  <c r="F297" i="57"/>
  <c r="E297" i="57"/>
  <c r="D297" i="57"/>
  <c r="L296" i="57"/>
  <c r="J296" i="57"/>
  <c r="I296" i="57"/>
  <c r="G296" i="57"/>
  <c r="F296" i="57"/>
  <c r="E296" i="57"/>
  <c r="D296" i="57"/>
  <c r="L295" i="57"/>
  <c r="K295" i="57"/>
  <c r="J295" i="57"/>
  <c r="G295" i="57"/>
  <c r="F295" i="57"/>
  <c r="E295" i="57"/>
  <c r="D295" i="57"/>
  <c r="L294" i="57"/>
  <c r="J294" i="57"/>
  <c r="I294" i="57"/>
  <c r="G294" i="57"/>
  <c r="F294" i="57"/>
  <c r="E294" i="57"/>
  <c r="D294" i="57"/>
  <c r="M293" i="57"/>
  <c r="H293" i="57"/>
  <c r="M292" i="57"/>
  <c r="H292" i="57"/>
  <c r="M291" i="57"/>
  <c r="H291" i="57"/>
  <c r="M289" i="57"/>
  <c r="H289" i="57"/>
  <c r="L288" i="57"/>
  <c r="K288" i="57"/>
  <c r="J288" i="57"/>
  <c r="I288" i="57"/>
  <c r="G288" i="57"/>
  <c r="F288" i="57"/>
  <c r="E288" i="57"/>
  <c r="D288" i="57"/>
  <c r="M287" i="57"/>
  <c r="H287" i="57"/>
  <c r="M286" i="57"/>
  <c r="H286" i="57"/>
  <c r="M285" i="57"/>
  <c r="H285" i="57"/>
  <c r="M284" i="57"/>
  <c r="H284" i="57"/>
  <c r="M283" i="57"/>
  <c r="H283" i="57"/>
  <c r="L282" i="57"/>
  <c r="K282" i="57"/>
  <c r="J282" i="57"/>
  <c r="I282" i="57"/>
  <c r="G282" i="57"/>
  <c r="F282" i="57"/>
  <c r="E282" i="57"/>
  <c r="D282" i="57"/>
  <c r="M281" i="57"/>
  <c r="H281" i="57"/>
  <c r="M280" i="57"/>
  <c r="H280" i="57"/>
  <c r="M279" i="57"/>
  <c r="H279" i="57"/>
  <c r="M278" i="57"/>
  <c r="H278" i="57"/>
  <c r="M277" i="57"/>
  <c r="H277" i="57"/>
  <c r="L276" i="57"/>
  <c r="K276" i="57"/>
  <c r="J276" i="57"/>
  <c r="I276" i="57"/>
  <c r="F276" i="57"/>
  <c r="E276" i="57"/>
  <c r="D276" i="57"/>
  <c r="M275" i="57"/>
  <c r="H275" i="57"/>
  <c r="M274" i="57"/>
  <c r="H274" i="57"/>
  <c r="M273" i="57"/>
  <c r="H273" i="57"/>
  <c r="M272" i="57"/>
  <c r="H272" i="57"/>
  <c r="M271" i="57"/>
  <c r="H271" i="57"/>
  <c r="L270" i="57"/>
  <c r="J270" i="57"/>
  <c r="I270" i="57"/>
  <c r="G270" i="57"/>
  <c r="F270" i="57"/>
  <c r="E270" i="57"/>
  <c r="D270" i="57"/>
  <c r="M269" i="57"/>
  <c r="H269" i="57"/>
  <c r="M268" i="57"/>
  <c r="H268" i="57"/>
  <c r="M267" i="57"/>
  <c r="H267" i="57"/>
  <c r="K270" i="57"/>
  <c r="M265" i="57"/>
  <c r="H265" i="57"/>
  <c r="L264" i="57"/>
  <c r="J264" i="57"/>
  <c r="I264" i="57"/>
  <c r="G264" i="57"/>
  <c r="F264" i="57"/>
  <c r="E264" i="57"/>
  <c r="D264" i="57"/>
  <c r="M263" i="57"/>
  <c r="H263" i="57"/>
  <c r="M262" i="57"/>
  <c r="H262" i="57"/>
  <c r="M261" i="57"/>
  <c r="H261" i="57"/>
  <c r="H260" i="57"/>
  <c r="M259" i="57"/>
  <c r="L256" i="57"/>
  <c r="I256" i="57"/>
  <c r="G256" i="57"/>
  <c r="F256" i="57"/>
  <c r="E256" i="57"/>
  <c r="D256" i="57"/>
  <c r="L255" i="57"/>
  <c r="K255" i="57"/>
  <c r="J255" i="57"/>
  <c r="I255" i="57"/>
  <c r="G255" i="57"/>
  <c r="F255" i="57"/>
  <c r="E255" i="57"/>
  <c r="D255" i="57"/>
  <c r="L254" i="57"/>
  <c r="K254" i="57"/>
  <c r="J254" i="57"/>
  <c r="I254" i="57"/>
  <c r="G254" i="57"/>
  <c r="F254" i="57"/>
  <c r="E254" i="57"/>
  <c r="D254" i="57"/>
  <c r="L253" i="57"/>
  <c r="K253" i="57"/>
  <c r="J253" i="57"/>
  <c r="I253" i="57"/>
  <c r="G253" i="57"/>
  <c r="F253" i="57"/>
  <c r="E253" i="57"/>
  <c r="D253" i="57"/>
  <c r="L252" i="57"/>
  <c r="K252" i="57"/>
  <c r="J252" i="57"/>
  <c r="I252" i="57"/>
  <c r="G252" i="57"/>
  <c r="F252" i="57"/>
  <c r="E252" i="57"/>
  <c r="D252" i="57"/>
  <c r="D257" i="57" s="1"/>
  <c r="L251" i="57"/>
  <c r="I251" i="57"/>
  <c r="G251" i="57"/>
  <c r="F251" i="57"/>
  <c r="E251" i="57"/>
  <c r="D251" i="57"/>
  <c r="K250" i="57"/>
  <c r="K256" i="57" s="1"/>
  <c r="J250" i="57"/>
  <c r="J251" i="57" s="1"/>
  <c r="M249" i="57"/>
  <c r="H249" i="57"/>
  <c r="H255" i="57" s="1"/>
  <c r="M248" i="57"/>
  <c r="H248" i="57"/>
  <c r="H254" i="57" s="1"/>
  <c r="M247" i="57"/>
  <c r="H247" i="57"/>
  <c r="H253" i="57" s="1"/>
  <c r="M246" i="57"/>
  <c r="H246" i="57"/>
  <c r="H252" i="57" s="1"/>
  <c r="L243" i="57"/>
  <c r="K243" i="57"/>
  <c r="J243" i="57"/>
  <c r="I243" i="57"/>
  <c r="G243" i="57"/>
  <c r="F243" i="57"/>
  <c r="E243" i="57"/>
  <c r="D243" i="57"/>
  <c r="L242" i="57"/>
  <c r="K242" i="57"/>
  <c r="J242" i="57"/>
  <c r="I242" i="57"/>
  <c r="G242" i="57"/>
  <c r="F242" i="57"/>
  <c r="E242" i="57"/>
  <c r="D242" i="57"/>
  <c r="L241" i="57"/>
  <c r="K241" i="57"/>
  <c r="J241" i="57"/>
  <c r="I241" i="57"/>
  <c r="G241" i="57"/>
  <c r="F241" i="57"/>
  <c r="E241" i="57"/>
  <c r="D241" i="57"/>
  <c r="L240" i="57"/>
  <c r="J240" i="57"/>
  <c r="I240" i="57"/>
  <c r="G240" i="57"/>
  <c r="F240" i="57"/>
  <c r="E240" i="57"/>
  <c r="D240" i="57"/>
  <c r="L239" i="57"/>
  <c r="K239" i="57"/>
  <c r="J239" i="57"/>
  <c r="I239" i="57"/>
  <c r="G239" i="57"/>
  <c r="F239" i="57"/>
  <c r="E239" i="57"/>
  <c r="D239" i="57"/>
  <c r="L238" i="57"/>
  <c r="J238" i="57"/>
  <c r="I238" i="57"/>
  <c r="G238" i="57"/>
  <c r="F238" i="57"/>
  <c r="E238" i="57"/>
  <c r="D238" i="57"/>
  <c r="M237" i="57"/>
  <c r="H237" i="57"/>
  <c r="H243" i="57" s="1"/>
  <c r="M236" i="57"/>
  <c r="H236" i="57"/>
  <c r="H242" i="57" s="1"/>
  <c r="M235" i="57"/>
  <c r="H235" i="57"/>
  <c r="H241" i="57" s="1"/>
  <c r="K234" i="57"/>
  <c r="M234" i="57" s="1"/>
  <c r="M233" i="57"/>
  <c r="H233" i="57"/>
  <c r="L230" i="57"/>
  <c r="K230" i="57"/>
  <c r="J230" i="57"/>
  <c r="I230" i="57"/>
  <c r="G230" i="57"/>
  <c r="F230" i="57"/>
  <c r="E230" i="57"/>
  <c r="D230" i="57"/>
  <c r="L229" i="57"/>
  <c r="K229" i="57"/>
  <c r="J229" i="57"/>
  <c r="I229" i="57"/>
  <c r="G229" i="57"/>
  <c r="F229" i="57"/>
  <c r="E229" i="57"/>
  <c r="D229" i="57"/>
  <c r="L228" i="57"/>
  <c r="K228" i="57"/>
  <c r="J228" i="57"/>
  <c r="I228" i="57"/>
  <c r="G228" i="57"/>
  <c r="F228" i="57"/>
  <c r="E228" i="57"/>
  <c r="D228" i="57"/>
  <c r="L227" i="57"/>
  <c r="K227" i="57"/>
  <c r="I227" i="57"/>
  <c r="G227" i="57"/>
  <c r="F227" i="57"/>
  <c r="E227" i="57"/>
  <c r="D227" i="57"/>
  <c r="L225" i="57"/>
  <c r="K225" i="57"/>
  <c r="I225" i="57"/>
  <c r="G225" i="57"/>
  <c r="F225" i="57"/>
  <c r="E225" i="57"/>
  <c r="D225" i="57"/>
  <c r="M224" i="57"/>
  <c r="H224" i="57"/>
  <c r="M223" i="57"/>
  <c r="H223" i="57"/>
  <c r="M222" i="57"/>
  <c r="H222" i="57"/>
  <c r="J227" i="57"/>
  <c r="M220" i="57"/>
  <c r="H220" i="57"/>
  <c r="H226" i="57" s="1"/>
  <c r="L188" i="57"/>
  <c r="I188" i="57"/>
  <c r="G188" i="57"/>
  <c r="F188" i="57"/>
  <c r="E188" i="57"/>
  <c r="D188" i="57"/>
  <c r="M187" i="57"/>
  <c r="H187" i="57"/>
  <c r="M186" i="57"/>
  <c r="H186" i="57"/>
  <c r="J188" i="57"/>
  <c r="M184" i="57"/>
  <c r="H184" i="57"/>
  <c r="M183" i="57"/>
  <c r="H183" i="57"/>
  <c r="L182" i="57"/>
  <c r="J182" i="57"/>
  <c r="I182" i="57"/>
  <c r="G182" i="57"/>
  <c r="F182" i="57"/>
  <c r="E182" i="57"/>
  <c r="D182" i="57"/>
  <c r="M181" i="57"/>
  <c r="H181" i="57"/>
  <c r="M180" i="57"/>
  <c r="H180" i="57"/>
  <c r="M179" i="57"/>
  <c r="H179" i="57"/>
  <c r="M177" i="57"/>
  <c r="H177" i="57"/>
  <c r="L176" i="57"/>
  <c r="K176" i="57"/>
  <c r="J176" i="57"/>
  <c r="I176" i="57"/>
  <c r="G176" i="57"/>
  <c r="F176" i="57"/>
  <c r="E176" i="57"/>
  <c r="D176" i="57"/>
  <c r="M175" i="57"/>
  <c r="H175" i="57"/>
  <c r="M174" i="57"/>
  <c r="H174" i="57"/>
  <c r="M173" i="57"/>
  <c r="H173" i="57"/>
  <c r="M172" i="57"/>
  <c r="H172" i="57"/>
  <c r="M171" i="57"/>
  <c r="H171" i="57"/>
  <c r="L170" i="57"/>
  <c r="K170" i="57"/>
  <c r="J170" i="57"/>
  <c r="I170" i="57"/>
  <c r="G170" i="57"/>
  <c r="F170" i="57"/>
  <c r="E170" i="57"/>
  <c r="M169" i="57"/>
  <c r="H169" i="57"/>
  <c r="M168" i="57"/>
  <c r="H168" i="57"/>
  <c r="M167" i="57"/>
  <c r="H167" i="57"/>
  <c r="M166" i="57"/>
  <c r="H166" i="57"/>
  <c r="M165" i="57"/>
  <c r="H165" i="57"/>
  <c r="H207" i="57" s="1"/>
  <c r="L164" i="57"/>
  <c r="K164" i="57"/>
  <c r="J164" i="57"/>
  <c r="I164" i="57"/>
  <c r="G164" i="57"/>
  <c r="F164" i="57"/>
  <c r="E164" i="57"/>
  <c r="D164" i="57"/>
  <c r="M163" i="57"/>
  <c r="H163" i="57"/>
  <c r="M162" i="57"/>
  <c r="H162" i="57"/>
  <c r="M161" i="57"/>
  <c r="H161" i="57"/>
  <c r="M160" i="57"/>
  <c r="H160" i="57"/>
  <c r="M159" i="57"/>
  <c r="L121" i="57"/>
  <c r="K121" i="57"/>
  <c r="J121" i="57"/>
  <c r="I121" i="57"/>
  <c r="G121" i="57"/>
  <c r="F121" i="57"/>
  <c r="E121" i="57"/>
  <c r="D121" i="57"/>
  <c r="M120" i="57"/>
  <c r="H120" i="57"/>
  <c r="H150" i="57" s="1"/>
  <c r="M119" i="57"/>
  <c r="H119" i="57"/>
  <c r="H149" i="57" s="1"/>
  <c r="M118" i="57"/>
  <c r="H118" i="57"/>
  <c r="H148" i="57" s="1"/>
  <c r="M117" i="57"/>
  <c r="H117" i="57"/>
  <c r="H147" i="57" s="1"/>
  <c r="M116" i="57"/>
  <c r="L102" i="57"/>
  <c r="K102" i="57"/>
  <c r="I102" i="57"/>
  <c r="G102" i="57"/>
  <c r="F102" i="57"/>
  <c r="E102" i="57"/>
  <c r="D102" i="57"/>
  <c r="M101" i="57"/>
  <c r="M100" i="57"/>
  <c r="M99" i="57"/>
  <c r="M98" i="57"/>
  <c r="M97" i="57"/>
  <c r="L96" i="57"/>
  <c r="K96" i="57"/>
  <c r="J96" i="57"/>
  <c r="I96" i="57"/>
  <c r="G96" i="57"/>
  <c r="F96" i="57"/>
  <c r="E96" i="57"/>
  <c r="D96" i="57"/>
  <c r="M95" i="57"/>
  <c r="H95" i="57"/>
  <c r="M94" i="57"/>
  <c r="H94" i="57"/>
  <c r="M93" i="57"/>
  <c r="H93" i="57"/>
  <c r="M92" i="57"/>
  <c r="H92" i="57"/>
  <c r="M91" i="57"/>
  <c r="L90" i="57"/>
  <c r="J90" i="57"/>
  <c r="I90" i="57"/>
  <c r="G90" i="57"/>
  <c r="F90" i="57"/>
  <c r="E90" i="57"/>
  <c r="D90" i="57"/>
  <c r="M89" i="57"/>
  <c r="H89" i="57"/>
  <c r="M88" i="57"/>
  <c r="M87" i="57"/>
  <c r="H87" i="57"/>
  <c r="M86" i="57"/>
  <c r="H86" i="57"/>
  <c r="M85" i="57"/>
  <c r="H85" i="57"/>
  <c r="H109" i="57" s="1"/>
  <c r="L82" i="57"/>
  <c r="K82" i="57"/>
  <c r="J82" i="57"/>
  <c r="I82" i="57"/>
  <c r="G82" i="57"/>
  <c r="F82" i="57"/>
  <c r="E82" i="57"/>
  <c r="D82" i="57"/>
  <c r="L81" i="57"/>
  <c r="K81" i="57"/>
  <c r="J81" i="57"/>
  <c r="I81" i="57"/>
  <c r="G81" i="57"/>
  <c r="F81" i="57"/>
  <c r="E81" i="57"/>
  <c r="D81" i="57"/>
  <c r="L80" i="57"/>
  <c r="J80" i="57"/>
  <c r="I80" i="57"/>
  <c r="G80" i="57"/>
  <c r="F80" i="57"/>
  <c r="E80" i="57"/>
  <c r="D80" i="57"/>
  <c r="L79" i="57"/>
  <c r="K79" i="57"/>
  <c r="J79" i="57"/>
  <c r="I79" i="57"/>
  <c r="G79" i="57"/>
  <c r="F79" i="57"/>
  <c r="E79" i="57"/>
  <c r="D79" i="57"/>
  <c r="L78" i="57"/>
  <c r="K78" i="57"/>
  <c r="J78" i="57"/>
  <c r="I78" i="57"/>
  <c r="G78" i="57"/>
  <c r="F78" i="57"/>
  <c r="E78" i="57"/>
  <c r="D78" i="57"/>
  <c r="L77" i="57"/>
  <c r="J77" i="57"/>
  <c r="I77" i="57"/>
  <c r="G77" i="57"/>
  <c r="F77" i="57"/>
  <c r="E77" i="57"/>
  <c r="D77" i="57"/>
  <c r="M76" i="57"/>
  <c r="H76" i="57"/>
  <c r="M75" i="57"/>
  <c r="H75" i="57"/>
  <c r="K77" i="57"/>
  <c r="H74" i="57"/>
  <c r="M73" i="57"/>
  <c r="H73" i="57"/>
  <c r="M72" i="57"/>
  <c r="H72" i="57"/>
  <c r="L71" i="57"/>
  <c r="I71" i="57"/>
  <c r="G71" i="57"/>
  <c r="F71" i="57"/>
  <c r="E71" i="57"/>
  <c r="D71" i="57"/>
  <c r="M70" i="57"/>
  <c r="H70" i="57"/>
  <c r="M69" i="57"/>
  <c r="H69" i="57"/>
  <c r="K71" i="57"/>
  <c r="M67" i="57"/>
  <c r="M79" i="57" s="1"/>
  <c r="H67" i="57"/>
  <c r="M66" i="57"/>
  <c r="L46" i="57"/>
  <c r="K46" i="57"/>
  <c r="J46" i="57"/>
  <c r="I46" i="57"/>
  <c r="G46" i="57"/>
  <c r="F46" i="57"/>
  <c r="E46" i="57"/>
  <c r="D46" i="57"/>
  <c r="M45" i="57"/>
  <c r="H45" i="57"/>
  <c r="M44" i="57"/>
  <c r="H44" i="57"/>
  <c r="M43" i="57"/>
  <c r="H43" i="57"/>
  <c r="M42" i="57"/>
  <c r="H42" i="57"/>
  <c r="M41" i="57"/>
  <c r="H41" i="57"/>
  <c r="M39" i="57"/>
  <c r="H39" i="57"/>
  <c r="M38" i="57"/>
  <c r="H38" i="57"/>
  <c r="M37" i="57"/>
  <c r="H37" i="57"/>
  <c r="M36" i="57"/>
  <c r="H36" i="57"/>
  <c r="M35" i="57"/>
  <c r="H35" i="57"/>
  <c r="M33" i="57"/>
  <c r="H33" i="57"/>
  <c r="M32" i="57"/>
  <c r="H32" i="57"/>
  <c r="M31" i="57"/>
  <c r="H31" i="57"/>
  <c r="M30" i="57"/>
  <c r="H30" i="57"/>
  <c r="M29" i="57"/>
  <c r="H29" i="57"/>
  <c r="L28" i="57"/>
  <c r="J28" i="57"/>
  <c r="G28" i="57"/>
  <c r="E28" i="57"/>
  <c r="D28" i="57"/>
  <c r="M27" i="57"/>
  <c r="M26" i="57"/>
  <c r="M25" i="57"/>
  <c r="H211" i="57" l="1"/>
  <c r="H210" i="57"/>
  <c r="H413" i="57"/>
  <c r="H412" i="57"/>
  <c r="H411" i="57"/>
  <c r="D231" i="57"/>
  <c r="I422" i="57"/>
  <c r="J429" i="57" s="1"/>
  <c r="E422" i="57"/>
  <c r="H40" i="57"/>
  <c r="M40" i="57"/>
  <c r="H113" i="57"/>
  <c r="H111" i="57"/>
  <c r="H110" i="57"/>
  <c r="J422" i="57"/>
  <c r="G422" i="57"/>
  <c r="D423" i="57"/>
  <c r="I423" i="57"/>
  <c r="E424" i="57"/>
  <c r="K425" i="57"/>
  <c r="F426" i="57"/>
  <c r="K426" i="57"/>
  <c r="D422" i="57"/>
  <c r="E423" i="57"/>
  <c r="J423" i="57"/>
  <c r="F424" i="57"/>
  <c r="F425" i="57"/>
  <c r="G426" i="57"/>
  <c r="F423" i="57"/>
  <c r="G424" i="57"/>
  <c r="I425" i="57"/>
  <c r="D426" i="57"/>
  <c r="I426" i="57"/>
  <c r="F422" i="57"/>
  <c r="G423" i="57"/>
  <c r="D424" i="57"/>
  <c r="I424" i="57"/>
  <c r="D425" i="57"/>
  <c r="J425" i="57"/>
  <c r="E426" i="57"/>
  <c r="F370" i="57"/>
  <c r="H34" i="57"/>
  <c r="H79" i="57"/>
  <c r="D212" i="57"/>
  <c r="H366" i="57"/>
  <c r="H164" i="57"/>
  <c r="H121" i="57"/>
  <c r="M34" i="57"/>
  <c r="H229" i="57"/>
  <c r="K64" i="57"/>
  <c r="G231" i="57"/>
  <c r="L6" i="58"/>
  <c r="Q6" i="58" s="1"/>
  <c r="F114" i="57"/>
  <c r="L114" i="57"/>
  <c r="K370" i="57"/>
  <c r="H368" i="57"/>
  <c r="G370" i="57"/>
  <c r="G114" i="57"/>
  <c r="G83" i="57"/>
  <c r="M252" i="57"/>
  <c r="H324" i="57"/>
  <c r="H364" i="57"/>
  <c r="D325" i="57"/>
  <c r="I325" i="57"/>
  <c r="M336" i="57"/>
  <c r="I370" i="57"/>
  <c r="M242" i="57"/>
  <c r="M335" i="57"/>
  <c r="K332" i="57"/>
  <c r="E11" i="58"/>
  <c r="H78" i="57"/>
  <c r="I83" i="57"/>
  <c r="L25" i="58"/>
  <c r="M243" i="57"/>
  <c r="L55" i="58"/>
  <c r="M364" i="57"/>
  <c r="L8" i="58"/>
  <c r="Q8" i="58" s="1"/>
  <c r="L7" i="58"/>
  <c r="Q7" i="58" s="1"/>
  <c r="F64" i="57"/>
  <c r="M46" i="57"/>
  <c r="H81" i="57"/>
  <c r="M260" i="57"/>
  <c r="L35" i="58"/>
  <c r="G276" i="57"/>
  <c r="M333" i="57"/>
  <c r="M334" i="57"/>
  <c r="S29" i="58"/>
  <c r="Q30" i="58"/>
  <c r="G64" i="57"/>
  <c r="K251" i="57"/>
  <c r="M251" i="57" s="1"/>
  <c r="M254" i="57"/>
  <c r="M255" i="57"/>
  <c r="T59" i="58"/>
  <c r="Y59" i="58" s="1"/>
  <c r="F61" i="58"/>
  <c r="E368" i="57"/>
  <c r="E425" i="57" s="1"/>
  <c r="E61" i="58"/>
  <c r="E68" i="58"/>
  <c r="L67" i="58"/>
  <c r="K188" i="57"/>
  <c r="M188" i="57" s="1"/>
  <c r="M26" i="58"/>
  <c r="H230" i="57"/>
  <c r="G244" i="57"/>
  <c r="K294" i="57"/>
  <c r="M294" i="57" s="1"/>
  <c r="L40" i="58"/>
  <c r="Q40" i="58" s="1"/>
  <c r="M304" i="57"/>
  <c r="M307" i="57" s="1"/>
  <c r="H46" i="58"/>
  <c r="G325" i="57"/>
  <c r="L325" i="57"/>
  <c r="M323" i="57"/>
  <c r="M365" i="57"/>
  <c r="M315" i="57"/>
  <c r="L48" i="58"/>
  <c r="H290" i="57"/>
  <c r="H294" i="57" s="1"/>
  <c r="H266" i="57"/>
  <c r="H270" i="57" s="1"/>
  <c r="H151" i="57"/>
  <c r="M148" i="57"/>
  <c r="M170" i="57"/>
  <c r="H282" i="57"/>
  <c r="H276" i="57"/>
  <c r="M358" i="57"/>
  <c r="M71" i="57"/>
  <c r="K182" i="57"/>
  <c r="M182" i="57" s="1"/>
  <c r="M78" i="57"/>
  <c r="H176" i="57"/>
  <c r="H77" i="57"/>
  <c r="H96" i="57"/>
  <c r="M113" i="57"/>
  <c r="M227" i="57"/>
  <c r="F231" i="57"/>
  <c r="H228" i="57"/>
  <c r="M229" i="57"/>
  <c r="M147" i="57"/>
  <c r="M150" i="57"/>
  <c r="M367" i="57"/>
  <c r="H313" i="57"/>
  <c r="M299" i="57"/>
  <c r="M266" i="57"/>
  <c r="M270" i="57"/>
  <c r="F300" i="57"/>
  <c r="D300" i="57"/>
  <c r="K28" i="57"/>
  <c r="M28" i="57" s="1"/>
  <c r="L427" i="57"/>
  <c r="J83" i="57"/>
  <c r="E83" i="57"/>
  <c r="M96" i="57"/>
  <c r="E114" i="57"/>
  <c r="M109" i="57"/>
  <c r="J151" i="57"/>
  <c r="M164" i="57"/>
  <c r="H170" i="57"/>
  <c r="M176" i="57"/>
  <c r="H178" i="57"/>
  <c r="H182" i="57" s="1"/>
  <c r="H185" i="57"/>
  <c r="H209" i="57" s="1"/>
  <c r="G212" i="57"/>
  <c r="L231" i="57"/>
  <c r="K238" i="57"/>
  <c r="M238" i="57" s="1"/>
  <c r="E244" i="57"/>
  <c r="J244" i="57"/>
  <c r="I244" i="57"/>
  <c r="I257" i="57"/>
  <c r="K257" i="57"/>
  <c r="H295" i="57"/>
  <c r="H297" i="57"/>
  <c r="H299" i="57"/>
  <c r="K264" i="57"/>
  <c r="M264" i="57" s="1"/>
  <c r="H288" i="57"/>
  <c r="L300" i="57"/>
  <c r="G298" i="57"/>
  <c r="G425" i="57" s="1"/>
  <c r="M313" i="57"/>
  <c r="F325" i="57"/>
  <c r="M331" i="57"/>
  <c r="I338" i="57"/>
  <c r="G338" i="57"/>
  <c r="H365" i="57"/>
  <c r="H367" i="57"/>
  <c r="L370" i="57"/>
  <c r="H402" i="57"/>
  <c r="E212" i="57"/>
  <c r="M24" i="57"/>
  <c r="H82" i="57"/>
  <c r="F83" i="57"/>
  <c r="M110" i="57"/>
  <c r="M121" i="57"/>
  <c r="F151" i="57"/>
  <c r="I212" i="57"/>
  <c r="M230" i="57"/>
  <c r="H234" i="57"/>
  <c r="H240" i="57" s="1"/>
  <c r="F244" i="57"/>
  <c r="K240" i="57"/>
  <c r="K244" i="57" s="1"/>
  <c r="H250" i="57"/>
  <c r="H256" i="57" s="1"/>
  <c r="H257" i="57" s="1"/>
  <c r="L257" i="57"/>
  <c r="M295" i="57"/>
  <c r="M297" i="57"/>
  <c r="M282" i="57"/>
  <c r="H331" i="57"/>
  <c r="H337" i="57" s="1"/>
  <c r="E338" i="57"/>
  <c r="J338" i="57"/>
  <c r="D338" i="57"/>
  <c r="L338" i="57"/>
  <c r="D370" i="57"/>
  <c r="J396" i="57"/>
  <c r="M337" i="57"/>
  <c r="H46" i="57"/>
  <c r="M77" i="57"/>
  <c r="D83" i="57"/>
  <c r="L83" i="57"/>
  <c r="M102" i="57"/>
  <c r="D114" i="57"/>
  <c r="I114" i="57"/>
  <c r="I151" i="57"/>
  <c r="G151" i="57"/>
  <c r="L151" i="57"/>
  <c r="M149" i="57"/>
  <c r="F212" i="57"/>
  <c r="L212" i="57"/>
  <c r="H221" i="57"/>
  <c r="H225" i="57" s="1"/>
  <c r="J231" i="57"/>
  <c r="M241" i="57"/>
  <c r="G257" i="57"/>
  <c r="E257" i="57"/>
  <c r="M276" i="57"/>
  <c r="M288" i="57"/>
  <c r="K296" i="57"/>
  <c r="K300" i="57" s="1"/>
  <c r="E300" i="57"/>
  <c r="J300" i="57"/>
  <c r="E325" i="57"/>
  <c r="M324" i="57"/>
  <c r="M366" i="57"/>
  <c r="M369" i="57"/>
  <c r="M402" i="57"/>
  <c r="M228" i="57"/>
  <c r="K231" i="57"/>
  <c r="H369" i="57"/>
  <c r="J370" i="57"/>
  <c r="M368" i="57"/>
  <c r="K321" i="57"/>
  <c r="M321" i="57" s="1"/>
  <c r="H315" i="57"/>
  <c r="H319" i="57" s="1"/>
  <c r="K319" i="57"/>
  <c r="M319" i="57" s="1"/>
  <c r="F28" i="57"/>
  <c r="I64" i="57"/>
  <c r="M74" i="57"/>
  <c r="J102" i="57"/>
  <c r="M178" i="57"/>
  <c r="M185" i="57"/>
  <c r="J225" i="57"/>
  <c r="M225" i="57" s="1"/>
  <c r="E231" i="57"/>
  <c r="I231" i="57"/>
  <c r="M250" i="57"/>
  <c r="F257" i="57"/>
  <c r="M253" i="57"/>
  <c r="M298" i="57"/>
  <c r="M290" i="57"/>
  <c r="I300" i="57"/>
  <c r="H68" i="57"/>
  <c r="H80" i="57" s="1"/>
  <c r="H88" i="57"/>
  <c r="H112" i="57" s="1"/>
  <c r="K90" i="57"/>
  <c r="M90" i="57" s="1"/>
  <c r="M112" i="57"/>
  <c r="K151" i="57"/>
  <c r="J212" i="57"/>
  <c r="J256" i="57"/>
  <c r="M256" i="57" s="1"/>
  <c r="K80" i="57"/>
  <c r="K424" i="57" s="1"/>
  <c r="M111" i="57"/>
  <c r="D244" i="57"/>
  <c r="H239" i="57"/>
  <c r="L244" i="57"/>
  <c r="M68" i="57"/>
  <c r="M81" i="57" s="1"/>
  <c r="M221" i="57"/>
  <c r="M239" i="57"/>
  <c r="H298" i="57"/>
  <c r="H264" i="57"/>
  <c r="H304" i="57"/>
  <c r="H322" i="57" s="1"/>
  <c r="J322" i="57"/>
  <c r="M322" i="57" s="1"/>
  <c r="J332" i="57"/>
  <c r="H333" i="57"/>
  <c r="H385" i="57"/>
  <c r="M390" i="57"/>
  <c r="J307" i="57"/>
  <c r="K338" i="57"/>
  <c r="H358" i="57"/>
  <c r="H320" i="57"/>
  <c r="M385" i="57"/>
  <c r="E402" i="57"/>
  <c r="M320" i="57"/>
  <c r="E364" i="57"/>
  <c r="H208" i="57" l="1"/>
  <c r="H212" i="57" s="1"/>
  <c r="M425" i="57"/>
  <c r="J426" i="57"/>
  <c r="M426" i="57" s="1"/>
  <c r="H426" i="57"/>
  <c r="J424" i="57"/>
  <c r="M424" i="57" s="1"/>
  <c r="Q424" i="57" s="1"/>
  <c r="H424" i="57"/>
  <c r="H425" i="57"/>
  <c r="M82" i="57"/>
  <c r="M332" i="57"/>
  <c r="M240" i="57"/>
  <c r="H370" i="57"/>
  <c r="H188" i="57"/>
  <c r="H338" i="57"/>
  <c r="H244" i="57"/>
  <c r="M338" i="57"/>
  <c r="H251" i="57"/>
  <c r="M370" i="57"/>
  <c r="H83" i="57"/>
  <c r="L64" i="57"/>
  <c r="H332" i="57"/>
  <c r="F427" i="57"/>
  <c r="E427" i="57"/>
  <c r="E370" i="57"/>
  <c r="E69" i="58"/>
  <c r="U9" i="58"/>
  <c r="C11" i="58"/>
  <c r="T9" i="58"/>
  <c r="T69" i="58" s="1"/>
  <c r="F11" i="58"/>
  <c r="F69" i="58" s="1"/>
  <c r="J257" i="57"/>
  <c r="M257" i="57" s="1"/>
  <c r="H238" i="57"/>
  <c r="K212" i="57"/>
  <c r="G427" i="57"/>
  <c r="M27" i="58"/>
  <c r="M69" i="58" s="1"/>
  <c r="D75" i="58" s="1"/>
  <c r="Q26" i="58"/>
  <c r="S8" i="58"/>
  <c r="V8" i="58"/>
  <c r="W8" i="58"/>
  <c r="L41" i="58"/>
  <c r="Q35" i="58"/>
  <c r="Q41" i="58" s="1"/>
  <c r="L49" i="58"/>
  <c r="Q48" i="58"/>
  <c r="S48" i="58" s="1"/>
  <c r="H49" i="58"/>
  <c r="H69" i="58" s="1"/>
  <c r="C75" i="58" s="1"/>
  <c r="C78" i="58" s="1"/>
  <c r="Q46" i="58"/>
  <c r="V6" i="58"/>
  <c r="W6" i="58"/>
  <c r="Q11" i="58"/>
  <c r="L27" i="58"/>
  <c r="Q25" i="58"/>
  <c r="L68" i="58"/>
  <c r="Q67" i="58"/>
  <c r="C41" i="58"/>
  <c r="U36" i="58"/>
  <c r="X36" i="58" s="1"/>
  <c r="Y36" i="58" s="1"/>
  <c r="L11" i="58"/>
  <c r="L57" i="58"/>
  <c r="Q55" i="58"/>
  <c r="H296" i="57"/>
  <c r="M300" i="57"/>
  <c r="M80" i="57"/>
  <c r="K325" i="57"/>
  <c r="H321" i="57"/>
  <c r="H325" i="57" s="1"/>
  <c r="M151" i="57"/>
  <c r="G300" i="57"/>
  <c r="D427" i="57"/>
  <c r="M296" i="57"/>
  <c r="H227" i="57"/>
  <c r="H231" i="57" s="1"/>
  <c r="M231" i="57"/>
  <c r="M244" i="57"/>
  <c r="I427" i="57"/>
  <c r="J325" i="57"/>
  <c r="H307" i="57"/>
  <c r="K114" i="57"/>
  <c r="M114" i="57" s="1"/>
  <c r="K83" i="57"/>
  <c r="M83" i="57" s="1"/>
  <c r="H90" i="57"/>
  <c r="H390" i="57"/>
  <c r="H71" i="57"/>
  <c r="O426" i="57" l="1"/>
  <c r="Q426" i="57"/>
  <c r="H300" i="57"/>
  <c r="O424" i="57"/>
  <c r="M325" i="57"/>
  <c r="X9" i="58"/>
  <c r="Y9" i="58" s="1"/>
  <c r="U69" i="58"/>
  <c r="C69" i="58"/>
  <c r="F75" i="58"/>
  <c r="L75" i="58" s="1"/>
  <c r="L69" i="58"/>
  <c r="D74" i="58" s="1"/>
  <c r="S25" i="58"/>
  <c r="Q27" i="58"/>
  <c r="X6" i="58"/>
  <c r="Y6" i="58" s="1"/>
  <c r="X8" i="58"/>
  <c r="Y8" i="58" s="1"/>
  <c r="Q57" i="58"/>
  <c r="S55" i="58"/>
  <c r="S46" i="58"/>
  <c r="W46" i="58"/>
  <c r="V46" i="58"/>
  <c r="Q49" i="58"/>
  <c r="S67" i="58"/>
  <c r="Q68" i="58"/>
  <c r="S26" i="58"/>
  <c r="W26" i="58"/>
  <c r="V26" i="58"/>
  <c r="H114" i="57"/>
  <c r="J427" i="57"/>
  <c r="O425" i="57" l="1"/>
  <c r="Q425" i="57"/>
  <c r="X26" i="58"/>
  <c r="Y26" i="58" s="1"/>
  <c r="F74" i="58"/>
  <c r="D78" i="58"/>
  <c r="X46" i="58"/>
  <c r="Y46" i="58" s="1"/>
  <c r="Q69" i="58"/>
  <c r="V69" i="58"/>
  <c r="L74" i="58" l="1"/>
  <c r="L78" i="58" s="1"/>
  <c r="F78" i="58"/>
  <c r="H64" i="57" l="1"/>
  <c r="I16" i="56" l="1"/>
  <c r="I17" i="56"/>
  <c r="I18" i="56"/>
  <c r="I19" i="56"/>
  <c r="H12" i="56"/>
  <c r="G12" i="56"/>
  <c r="G19" i="56" s="1"/>
  <c r="F12" i="56"/>
  <c r="F19" i="56" s="1"/>
  <c r="E12" i="56"/>
  <c r="E19" i="56" s="1"/>
  <c r="D12" i="56"/>
  <c r="D19" i="56" s="1"/>
  <c r="C12" i="56"/>
  <c r="C19" i="56" s="1"/>
  <c r="B12" i="56"/>
  <c r="B19" i="56" s="1"/>
  <c r="A12" i="56"/>
  <c r="A19" i="56" s="1"/>
  <c r="H11" i="56"/>
  <c r="H18" i="56" s="1"/>
  <c r="G11" i="56"/>
  <c r="J11" i="56" s="1"/>
  <c r="J18" i="56" s="1"/>
  <c r="F11" i="56"/>
  <c r="F18" i="56" s="1"/>
  <c r="E11" i="56"/>
  <c r="E18" i="56" s="1"/>
  <c r="D11" i="56"/>
  <c r="D18" i="56" s="1"/>
  <c r="C11" i="56"/>
  <c r="C18" i="56" s="1"/>
  <c r="B11" i="56"/>
  <c r="B18" i="56" s="1"/>
  <c r="A11" i="56"/>
  <c r="A18" i="56" s="1"/>
  <c r="H10" i="56"/>
  <c r="H17" i="56" s="1"/>
  <c r="G10" i="56"/>
  <c r="J10" i="56" s="1"/>
  <c r="J17" i="56" s="1"/>
  <c r="F10" i="56"/>
  <c r="F17" i="56" s="1"/>
  <c r="E10" i="56"/>
  <c r="E17" i="56" s="1"/>
  <c r="D10" i="56"/>
  <c r="D17" i="56" s="1"/>
  <c r="C10" i="56"/>
  <c r="C17" i="56" s="1"/>
  <c r="B10" i="56"/>
  <c r="B17" i="56" s="1"/>
  <c r="A10" i="56"/>
  <c r="A17" i="56" s="1"/>
  <c r="H9" i="56"/>
  <c r="H16" i="56" s="1"/>
  <c r="G9" i="56"/>
  <c r="F9" i="56"/>
  <c r="F16" i="56" s="1"/>
  <c r="E9" i="56"/>
  <c r="E16" i="56" s="1"/>
  <c r="D9" i="56"/>
  <c r="D16" i="56" s="1"/>
  <c r="C9" i="56"/>
  <c r="B9" i="56"/>
  <c r="B16" i="56" s="1"/>
  <c r="A9" i="56"/>
  <c r="A16" i="56" s="1"/>
  <c r="I8" i="56"/>
  <c r="H8" i="56"/>
  <c r="H15" i="56" s="1"/>
  <c r="G8" i="56"/>
  <c r="G15" i="56" s="1"/>
  <c r="F8" i="56"/>
  <c r="E8" i="56"/>
  <c r="D8" i="56"/>
  <c r="D15" i="56" s="1"/>
  <c r="C8" i="56"/>
  <c r="C15" i="56" s="1"/>
  <c r="B8" i="56"/>
  <c r="B13" i="56" s="1"/>
  <c r="B20" i="56" s="1"/>
  <c r="A8" i="56"/>
  <c r="A13" i="56" l="1"/>
  <c r="A20" i="56" s="1"/>
  <c r="E13" i="56"/>
  <c r="E20" i="56" s="1"/>
  <c r="F13" i="56"/>
  <c r="F20" i="56" s="1"/>
  <c r="J12" i="56"/>
  <c r="J19" i="56" s="1"/>
  <c r="J8" i="56"/>
  <c r="J15" i="56" s="1"/>
  <c r="A15" i="56"/>
  <c r="C13" i="56"/>
  <c r="C20" i="56" s="1"/>
  <c r="G13" i="56"/>
  <c r="G20" i="56" s="1"/>
  <c r="F15" i="56"/>
  <c r="B15" i="56"/>
  <c r="G18" i="56"/>
  <c r="G16" i="56"/>
  <c r="C16" i="56"/>
  <c r="D13" i="56"/>
  <c r="D20" i="56" s="1"/>
  <c r="H13" i="56"/>
  <c r="H20" i="56" s="1"/>
  <c r="I15" i="56"/>
  <c r="E15" i="56"/>
  <c r="H19" i="56"/>
  <c r="G17" i="56"/>
  <c r="J9" i="56"/>
  <c r="J16" i="56" s="1"/>
  <c r="I13" i="56"/>
  <c r="I20" i="56" s="1"/>
  <c r="J13" i="56" l="1"/>
  <c r="J20" i="56" s="1"/>
  <c r="M391" i="57"/>
  <c r="H391" i="57"/>
  <c r="H409" i="57" l="1"/>
  <c r="H422" i="57" s="1"/>
  <c r="K422" i="57"/>
  <c r="M422" i="57" s="1"/>
  <c r="K423" i="57"/>
  <c r="M423" i="57" s="1"/>
  <c r="Q423" i="57" s="1"/>
  <c r="M410" i="57"/>
  <c r="M414" i="57" s="1"/>
  <c r="H392" i="57"/>
  <c r="H410" i="57" s="1"/>
  <c r="K414" i="57"/>
  <c r="K396" i="57"/>
  <c r="M392" i="57"/>
  <c r="M396" i="57" s="1"/>
  <c r="H423" i="57" l="1"/>
  <c r="H427" i="57" s="1"/>
  <c r="Q422" i="57"/>
  <c r="O423" i="57"/>
  <c r="O431" i="57"/>
  <c r="H414" i="57"/>
  <c r="H396" i="57"/>
  <c r="O422" i="57"/>
  <c r="M427" i="57"/>
  <c r="O427" i="57" s="1"/>
  <c r="K427" i="57"/>
  <c r="O430" i="57" l="1"/>
  <c r="Q428" i="57"/>
</calcChain>
</file>

<file path=xl/comments1.xml><?xml version="1.0" encoding="utf-8"?>
<comments xmlns="http://schemas.openxmlformats.org/spreadsheetml/2006/main">
  <authors>
    <author>Автор</author>
  </authors>
  <commentLis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врезка+затраты на регистрацию</t>
        </r>
      </text>
    </comment>
    <comment ref="K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переходящий на 2022 в размере 9 331</t>
        </r>
      </text>
    </comment>
    <comment ref="B2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J3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изыскания заново</t>
        </r>
      </text>
    </comment>
    <comment ref="H3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после экспертизы-55621,24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письмо
</t>
        </r>
      </text>
    </comment>
  </commentList>
</comments>
</file>

<file path=xl/sharedStrings.xml><?xml version="1.0" encoding="utf-8"?>
<sst xmlns="http://schemas.openxmlformats.org/spreadsheetml/2006/main" count="1062" uniqueCount="223">
  <si>
    <t>Закольцовка газораспределительных сетей от 
ГРС "Кузьмолово" до ГРС "Красная Зорька" (п.Энколово - пгт.Кузьмолово)</t>
  </si>
  <si>
    <t>ПИР</t>
  </si>
  <si>
    <t>СМР</t>
  </si>
  <si>
    <t>Итого</t>
  </si>
  <si>
    <t>Выборгский район</t>
  </si>
  <si>
    <t>Всеволожский район</t>
  </si>
  <si>
    <t>Волховский район</t>
  </si>
  <si>
    <t>Гатчинский район</t>
  </si>
  <si>
    <t>Ломоносовский район</t>
  </si>
  <si>
    <t>Сланцевский район</t>
  </si>
  <si>
    <t>Тосненский район</t>
  </si>
  <si>
    <t>Кингисеппский район</t>
  </si>
  <si>
    <t>итого по району</t>
  </si>
  <si>
    <t xml:space="preserve">Газопровод межпоселковый ГРС "Шоссейная-2" - п. Федоровский с закольцовкой газораспределительных сетей от ГРС "Федоровское" </t>
  </si>
  <si>
    <t>Волосовский район</t>
  </si>
  <si>
    <t>Наименование и адрес объекта</t>
  </si>
  <si>
    <t>Годы строительства</t>
  </si>
  <si>
    <t>Сметная стоимость объекта, тыс. руб.</t>
  </si>
  <si>
    <t>Стоимость по программе, тыс руб.</t>
  </si>
  <si>
    <t>Календарные сроки исполнения</t>
  </si>
  <si>
    <t>Прочие</t>
  </si>
  <si>
    <t xml:space="preserve">начало </t>
  </si>
  <si>
    <t>завершение</t>
  </si>
  <si>
    <t>2019</t>
  </si>
  <si>
    <t>2020</t>
  </si>
  <si>
    <t>2021</t>
  </si>
  <si>
    <t>итого по объекту</t>
  </si>
  <si>
    <t>2015 г.</t>
  </si>
  <si>
    <t>январь</t>
  </si>
  <si>
    <t>Итого по району</t>
  </si>
  <si>
    <t>2014 г.</t>
  </si>
  <si>
    <t>декабрь</t>
  </si>
  <si>
    <t>итого</t>
  </si>
  <si>
    <t>итого по программе</t>
  </si>
  <si>
    <t>Кировский район</t>
  </si>
  <si>
    <t>Итого по Программе</t>
  </si>
  <si>
    <t>комплексу Ленинградской области</t>
  </si>
  <si>
    <t>Затрат по объекту на начало действия программы</t>
  </si>
  <si>
    <t>2022</t>
  </si>
  <si>
    <t>2023</t>
  </si>
  <si>
    <t xml:space="preserve">Основные технические характеристики </t>
  </si>
  <si>
    <t>протяженность, км *</t>
  </si>
  <si>
    <t>кол-во домовладений</t>
  </si>
  <si>
    <t>ожидаемый объем потребления природного газа, м3/час</t>
  </si>
  <si>
    <r>
      <t>Программа газификации  Ленинградской области на 2019-2023 годы АО «Газпром газораспределение Ленинградская область»</t>
    </r>
    <r>
      <rPr>
        <b/>
        <sz val="10"/>
        <rFont val="Times New Roman"/>
        <family val="1"/>
        <charset val="204"/>
      </rPr>
      <t xml:space="preserve">
(за счет  спецнадбавки к тарифу на транспортировку природного газа потребителям Ленинградской области)</t>
    </r>
  </si>
  <si>
    <t>Лужский район</t>
  </si>
  <si>
    <t xml:space="preserve">январь </t>
  </si>
  <si>
    <t>апрель</t>
  </si>
  <si>
    <t>май</t>
  </si>
  <si>
    <t>июль</t>
  </si>
  <si>
    <t>Объем транспортировки природного газа, млн.м3/год</t>
  </si>
  <si>
    <t>август</t>
  </si>
  <si>
    <t>март</t>
  </si>
  <si>
    <t>сентябрь</t>
  </si>
  <si>
    <t>июнь</t>
  </si>
  <si>
    <t>ноябрь</t>
  </si>
  <si>
    <t xml:space="preserve">октябрь </t>
  </si>
  <si>
    <t>октябрь</t>
  </si>
  <si>
    <t>Межпоселковый газопровод г.Волхов, г.Старая Ладога до д.Юшково</t>
  </si>
  <si>
    <t>Распределительный газопровод п.Рощино</t>
  </si>
  <si>
    <t>Газораспределительная сеть к Спасо-Преображенскому Храму, п.Орлино</t>
  </si>
  <si>
    <t>Межпоселковый газопровод от д.Новолисино, д.Еглези, д.Куньголово до д.Форносово</t>
  </si>
  <si>
    <t>Распределительный газопровод в д.Сосницы по ул.Зелёная, ул.Мельничная, ул.Солнечная, ул.Соловьиная, ул.Цветочная</t>
  </si>
  <si>
    <t xml:space="preserve">Распределительный газопровод по п.Высокоключевой </t>
  </si>
  <si>
    <t xml:space="preserve">Распределительный газопровод по п.Мыза-Ивановка  </t>
  </si>
  <si>
    <t>Межпоселковый газопровод от д.Иннолово до п.Аннино</t>
  </si>
  <si>
    <t>Межпоселковый газопровод от д.Лангерево до д.Малое Коновалово, д.Кузнецы до д.Большое Коновалово</t>
  </si>
  <si>
    <t>Распределительный газопровод в д.Шепелево ул.Заводская, ул.Прибрежная, ул.Луговая, ул.Озерная, ул.Нагорная, ул.Сосновая, Флотский пер., Садовый пер.</t>
  </si>
  <si>
    <t>Межпоселковый газопровод к с.Ушаки и распределительный газопровод по с. Ушаки</t>
  </si>
  <si>
    <t xml:space="preserve">Распределительный газопровод по д.Веккелево </t>
  </si>
  <si>
    <t xml:space="preserve">Газопровод межпоселковый д.Ненимяки - Жилая застройка в районе Лемболовского озера - п.Лесное </t>
  </si>
  <si>
    <t>февраль</t>
  </si>
  <si>
    <t>Распределительный газопровод по д.Загривье</t>
  </si>
  <si>
    <t xml:space="preserve">Распределительный газопровод по д.Почап </t>
  </si>
  <si>
    <t>Распределительный газопровод в д.Черная Лахта  ул.Балтийская, ул. Садовая, ул. Солнечная</t>
  </si>
  <si>
    <t>* Тосненский район, распределительная сеть д. Тарасово по ул. 1-15 линии: 25 домовладений, 337 квартир подлежат газификации</t>
  </si>
  <si>
    <t>Межпоселковый газопровод от п.Лесогорский до д.Порхово</t>
  </si>
  <si>
    <t xml:space="preserve">Распределительный газопровод по д.Шаглино </t>
  </si>
  <si>
    <t>Распределительный газопровод  д.Бор по ул.Песочная, ул.Средняя, ул.Беговая с закольцовкой к распределительным сетям в п.Лукаши</t>
  </si>
  <si>
    <t>Межпоселковый газопровод от д.Курковицы до д.Новые Раглицы, д.Озеры, д.Пятая Гора с отводами на д.Село, д.Донцо, д.Малое Заречье</t>
  </si>
  <si>
    <t>Межпоселковый газопровод от д.Борисова Грива до д.Ваганово, д.Коккорево со строительством распределительных сетей</t>
  </si>
  <si>
    <t>Приозерский район</t>
  </si>
  <si>
    <t>Приложение к распоряжению комитета по топливно-энергетическому</t>
  </si>
  <si>
    <t>Распределительный газопровод по д. Поги</t>
  </si>
  <si>
    <t>Распределительный газопровод по п. Гладкое**</t>
  </si>
  <si>
    <t>* Тосненский район, Распределительный газопровод по п. Гладкое: 49 домовладений+21 многоквартирных домов</t>
  </si>
  <si>
    <t>Распределительный газопровод по п. Удальцово 
2 этап.</t>
  </si>
  <si>
    <t>Распределительный газопровод в п.Синявино ул.Луговая, ул.Лесная, пер. Лесной</t>
  </si>
  <si>
    <t>Распределительный газопровод в п. Назия по мкр. "Станционный", "Сассары", "Желанное"</t>
  </si>
  <si>
    <t>Газопровод межпоселковый  д. Ретюнь - п. Серебрянский с отводом на д. Шильцево</t>
  </si>
  <si>
    <t>Межпоселковый газопровод от ГРС "Северная" до распределительного газопровода д. Мистолово</t>
  </si>
  <si>
    <t>Распределительный газопровод в д. Коваши</t>
  </si>
  <si>
    <t>Газораспределительная сеть к котельной, расположенной по адресу: Ленинградской область, Всеволожский район, д. Васкелово, литер. А</t>
  </si>
  <si>
    <t>В силу принятии новых требований по прохождению проверки результатов инженерных изысканий в обязательном порядке в госэкспертизе, экспертиза ПСД переносится на 2020, разработка ППТ не требуется, поэтому уменьшение расходов на ПИР в целом за счет выполнения работ хозспособом</t>
  </si>
  <si>
    <t>уменьшение за счет оптимизации затрат</t>
  </si>
  <si>
    <t>отражены фактически понесенные затраты, увеличение за счет разницы стоимости материала, сметная стоимость трубы ПЭ Д 160 -620 р. за м, закупочная по договору поставки -944,16, кроме того ввиду заболочености местности работы были выполнены методом ГНБ с разбивкой лежневой дороги, предусмотрены затраты на регистрацию объекта в размере 120 тыс. руб. без НДС в 2019 г.</t>
  </si>
  <si>
    <t>Межпоселковый газопровод от мкр.Мурманские Ворота г.Волхова до п.Симанково,  д.Чернавино.</t>
  </si>
  <si>
    <t>по итогам работ по сбору исходных данных вывлено отсутствие возможности прохождения трассы после д. Горчаковщина.</t>
  </si>
  <si>
    <t>утвержденная сметная стоимость после прохождения госэкспертизы, предварительная стоимость - 6900</t>
  </si>
  <si>
    <t>Газопровод высокого давления от «ГРС Лаголово-2 - д. Телези», для переключения существующих сетей газоснабжения от новой ГРС Лаголово</t>
  </si>
  <si>
    <t>Уменьшение стоимости за счет оптимизации затрат на закупку оборудования, предварительная сметная стоимость</t>
  </si>
  <si>
    <t>экономия за счет выполнения ПИР хозспособом, увеличение СМР в процессе прохождения госэкпертиза за счет индексации на 2000 тыс. руб, перенос на 2020</t>
  </si>
  <si>
    <t>Планируется заключение соглашения о временном занятии земельного участка в 2019г.,  На сегодняшний день ведется подготовка к конкурсной процедуре по выбору подрядной организации на работы по повторному категорированию трех участков магистральных газопроводов в местах пересечения, предусмотрены затраты на прохождение госэкспертизы, СМР без изменений</t>
  </si>
  <si>
    <t>Распределительный газопровод к микрорайону Зеркальный в д. Васкелово</t>
  </si>
  <si>
    <t>Межпоселковый газопровод от ГРС "Сланцы" до газораспределительных сетей на д. Выскатка</t>
  </si>
  <si>
    <t>было</t>
  </si>
  <si>
    <t>стало</t>
  </si>
  <si>
    <t>факт затрат</t>
  </si>
  <si>
    <t>план + выпадающие</t>
  </si>
  <si>
    <t>Межпоселковый газопровод от д. Яровщина (Доможировского СП) до д. Коростелёво, д. Фомино, д.Горловщина с отводом на д. Пономарёво Лодейнопольского района</t>
  </si>
  <si>
    <t>агвуст</t>
  </si>
  <si>
    <t xml:space="preserve">Распределительный газопровод по ул. Полевая, ул. Брусничная, ул. Черничная, ул. Заозерная, ул. Яблочная, ул. Малиновая  в п. Мичуринское </t>
  </si>
  <si>
    <t>Межпоселковый газопровод для газификации БМК и многоквартирных жилых домов в п. д/о «Живой Ручей» Толмачевского г.п.</t>
  </si>
  <si>
    <t xml:space="preserve">Лодейнопольский район </t>
  </si>
  <si>
    <t xml:space="preserve">Подпорожский район </t>
  </si>
  <si>
    <t>Подтвержденный ЛенРТК объем компенсации выпадающих доходовот оказания услуг по технологическому присоединению газоиспользующего оборудования к газорспределительным сетям</t>
  </si>
  <si>
    <t>Плановый объем компенсации выпадающих доходовот оказания услуг по технологическому присоединению газоиспользующего оборудования к газорспределительным сетям</t>
  </si>
  <si>
    <t xml:space="preserve">Распределительный газопровод с сопутствующими сооружениями микрорайонов "Новая деревня"  и "Ольховец" </t>
  </si>
  <si>
    <t>Межпоселковый газопровод от ГРС "Труд" с отводами на д. Зимитицы, д. Чирковицы со строительством распределительных сетей</t>
  </si>
  <si>
    <t>N п/п</t>
  </si>
  <si>
    <t>Примечание</t>
  </si>
  <si>
    <t>Финансирование (изменения)</t>
  </si>
  <si>
    <t>без учета налога на прибыль</t>
  </si>
  <si>
    <t>№ п/п</t>
  </si>
  <si>
    <t xml:space="preserve">Наименование объекта </t>
  </si>
  <si>
    <t>Основные характеристики</t>
  </si>
  <si>
    <t>Выручка в год</t>
  </si>
  <si>
    <t>экспл расходы</t>
  </si>
  <si>
    <t>амортизация</t>
  </si>
  <si>
    <t>налог на имущество</t>
  </si>
  <si>
    <t>Итого расходов</t>
  </si>
  <si>
    <t>Фин. Результат</t>
  </si>
  <si>
    <t>Протяженность, км</t>
  </si>
  <si>
    <t>Потребители (домовладения, ИЖД и т.д.)</t>
  </si>
  <si>
    <t>Планируемый расход природного газа, м3/час</t>
  </si>
  <si>
    <t>Закольцовка газораспределительных сетей от ГРС "Кузьмолово" до ГРС "Красная Зорька" (п.Энколово - пгт.Кузьмолово)</t>
  </si>
  <si>
    <t>Газораспределительная сеть к котельной, расположенной по адресу: Ленинградская область, Всеволожский район, д. Васкелово, литер А</t>
  </si>
  <si>
    <t>Газопровод межпоселковый от ГРС "Северная" до распределительного газопровода д. Мистолово</t>
  </si>
  <si>
    <t xml:space="preserve">Межпоселковый газопровод от д.Борисова Грива до д.Ваганово, д.Коккорево </t>
  </si>
  <si>
    <t xml:space="preserve"> </t>
  </si>
  <si>
    <t>Межпоселковый газопровод г. Волхов, г. Старая Ладога до д. Юшково</t>
  </si>
  <si>
    <t>Межпоселковый газопровод от мкр. Мурманские Ворота г. Волхова до п. Симанково,  д. Чернавино, д. Горчаковщина, д. Бабино</t>
  </si>
  <si>
    <t>Газораспределительная сеть д. Сосницы по ул. Зелёная, Мельничная, Солнечная, Соловьиная, Цветочная</t>
  </si>
  <si>
    <t>Межпоселковый газопровод от д. Курковицы до д. Новые Раглицы, д. Озеры, д. Пятая Гора с отводом на д. Село, д. Донцо, д. Малое Заречье</t>
  </si>
  <si>
    <t>Распределительный газопровод в д.Бор по ул.Песочная, ул.Средняя, ул.Беговая с закольцовкой к распределительным сетям в п.Лукаши</t>
  </si>
  <si>
    <t>Газораспределительная сеть по п. Мыза-Ивановка</t>
  </si>
  <si>
    <t>Газопроводы высокого давления от «ГРС Лаголово-2 - д. Телези», для переключения существующих сетей газоснабжения от новой ГРС Лаголово</t>
  </si>
  <si>
    <t>Распределительный газопровд д. Черная Лахта  ул. Балтийская, ул. Садовая, ул. Солнечная</t>
  </si>
  <si>
    <t>Газопровод межпоселковый  д. Ретюнь - п. Серебрянский</t>
  </si>
  <si>
    <t xml:space="preserve">Распределительный газопровод по п. Удальцово </t>
  </si>
  <si>
    <t>Газопровод межпоселковый от ГРС "Сланцы" до дер. Сижно</t>
  </si>
  <si>
    <t>Газопровод распределительный по д. Загривье</t>
  </si>
  <si>
    <t>Межпоселковый газопровод от д. Новолисино, д. Еглези, д. Куньголово до д. Форносово</t>
  </si>
  <si>
    <t>ИТОГО</t>
  </si>
  <si>
    <t>Межпоселковый газопровод от ГРС "Труд" с отводами на п. Зимитицы, д. Чирковицы со строительством распределительных сетей</t>
  </si>
  <si>
    <t xml:space="preserve">Уменьшение стоимости ПИР </t>
  </si>
  <si>
    <t>Описание изменений</t>
  </si>
  <si>
    <t>Межпоселковый газопровод от газораспределительных сетей от ГРС "Сосновый бор" Ломоносовского района для подключения песпективных потребителей</t>
  </si>
  <si>
    <t>Подпорожский район</t>
  </si>
  <si>
    <t xml:space="preserve">Распределительная сеть д. Тарасово по ул. 1-15 линии </t>
  </si>
  <si>
    <t>БЫЛО</t>
  </si>
  <si>
    <t>выпадающие</t>
  </si>
  <si>
    <t>СТАЛО</t>
  </si>
  <si>
    <t>от " 20 " мая 2020 г. № 55</t>
  </si>
  <si>
    <t>Межпоселковый газопровод от газораспределительных сетей от ГРС " Сосновый Бор" Ломоносовского района для подключения перспективных потребителей</t>
  </si>
  <si>
    <t>Распределительная сеть д. Тарасово по ул. 1-15 линии *</t>
  </si>
  <si>
    <t>Отклонение</t>
  </si>
  <si>
    <t xml:space="preserve">Отклонения </t>
  </si>
  <si>
    <t>Уменьшение ПИР за счет выполнения собственными силами, увеличение СМР по предварительной смете</t>
  </si>
  <si>
    <t>Уменьшение ПИР за счет выполнения собственными силами</t>
  </si>
  <si>
    <t>Распределительный газопровод по п. Гладкое</t>
  </si>
  <si>
    <t>Корректровка по итогам экспертизы, увеличение за счет применения врезки по технологии "Раветти", прохождение трассы методом ГНБ, применение фитингов (АВК задвижки 10 шт., стоимость за ед 500 тыс.)</t>
  </si>
  <si>
    <t>Корретировка по итогам экспертизы, увеличение за счет применения трубы ПЭ Д 315 мм, сметная стоимость трубы за м -8 011 руб. , прохождение трассы методом ГНБ, установка 2 ГРПШ</t>
  </si>
  <si>
    <t>Стоимость предварительная до сдачи в экспертизу по результатам инженерных изысканий , увеличение за счет применения трубы ПЭ Д 315 мм, сметная стоимость за м -8 011 руб. , прохождение трассы методом ГНБ, установка 2 ГРПШ</t>
  </si>
  <si>
    <t>Измение  сроков: СМР переходяший на 2022</t>
  </si>
  <si>
    <t>Изменение сроков: СМР переходящий на 2024, был в 2023</t>
  </si>
  <si>
    <t>Изменение сроков: СМР полностью на 2021, был переходящий на 2022</t>
  </si>
  <si>
    <t>Изменение сроков: ПИР с 2020 на 2021, уменьшение ПИР</t>
  </si>
  <si>
    <t>Корректировка по итогам экспертизы  за счет увеличения трассы, прохождение методом ГНБ</t>
  </si>
  <si>
    <t>Изменение сроков, СМР переходящий на 2024</t>
  </si>
  <si>
    <t>Изменение сроков: ПИР переходящий с 2022 на 2023</t>
  </si>
  <si>
    <t>Изменение сроков: СМР переходящий на 2024</t>
  </si>
  <si>
    <t>Уменьшение ПИР, СМР за счет выполнения собственными силами</t>
  </si>
  <si>
    <t>Корректировка по итогам экспертизы,  за счет увеличения трассы, прохождение методом ГНБ</t>
  </si>
  <si>
    <t>Корректировка по итогам экспертизы  за счет увеличения трассы, прохождение методом ГНБ, стоимости трубы Д 315</t>
  </si>
  <si>
    <t>Стоимость предварительная, СМР увеличение в связи со сложностью перехода через р. Свирь</t>
  </si>
  <si>
    <t>Корректировка по итогам экспертизы</t>
  </si>
  <si>
    <t>Уменьшение за счет выполнения ПИР СМР собственными силами</t>
  </si>
  <si>
    <t>Изменение сроков : СМР переходящий на 2024</t>
  </si>
  <si>
    <t>Исключен, отсутствие перспективных потребителей (был запланирован на 2022-2023)</t>
  </si>
  <si>
    <t>Исключен, был запланирован на 2023, в дальнейшем возможно включение</t>
  </si>
  <si>
    <t>2024</t>
  </si>
  <si>
    <t>\</t>
  </si>
  <si>
    <r>
      <t>Программа газификации  Ленинградской области на 2021-2025 годы АО «Газпром газораспределение Ленинградская область»</t>
    </r>
    <r>
      <rPr>
        <b/>
        <sz val="10"/>
        <rFont val="Times New Roman"/>
        <family val="1"/>
        <charset val="204"/>
      </rPr>
      <t xml:space="preserve">
(за счет  спецнадбавки к тарифу на транспортировку природного газа потребителям Ленинградской области)</t>
    </r>
  </si>
  <si>
    <t xml:space="preserve">                         </t>
  </si>
  <si>
    <t>Тихвинский район</t>
  </si>
  <si>
    <t xml:space="preserve">Межпоселковый газопровод от п. Строение до п. Лисино-Корпус </t>
  </si>
  <si>
    <t xml:space="preserve">        </t>
  </si>
  <si>
    <t>Закольцовка сетей в п. Сиверский ул. Саши Никифорова от ГРПШ № 30 и ГРПШ № 26</t>
  </si>
  <si>
    <t>Межпоселковый газопровод от д.Курковицы до д.Новые Раглицы, д.Озера, д.Пятая Гора с отводами на д.Село, д.Донцо, д.Малое Заречье</t>
  </si>
  <si>
    <t xml:space="preserve">было </t>
  </si>
  <si>
    <t xml:space="preserve">Приозерский район </t>
  </si>
  <si>
    <t>Строительство закольцовки с установкой нового перспективного ГРПШ в д. Котельниково</t>
  </si>
  <si>
    <t>Строительство закольцовки с установкой нового перспективного ГРПШ в д. Сокколово</t>
  </si>
  <si>
    <t>Межпоселковый газопровод от д. Калитино, д. Старые Раглицы, д. Каргалозе до д. Глумицы</t>
  </si>
  <si>
    <t>Межпоселковый газопровод от д.Сойкино до д. Кукушкино, д. Ускуля и распределительный газопровод по д. Кукушкино</t>
  </si>
  <si>
    <t>Строительство закольцовки с установкой ГРПШ в п. Ульяновка, ул. Ломоносова, д.14</t>
  </si>
  <si>
    <t>по источникам Полоз</t>
  </si>
  <si>
    <t>дельта</t>
  </si>
  <si>
    <t>Закольцовка газораспределительных сетей от ГРП -14 по ул. Верхнее Рощино до ул. Садовой в п. Рощино</t>
  </si>
  <si>
    <t>Межпоселковый газопровод от п. Каменка до д. Старорусское</t>
  </si>
  <si>
    <t>Газопровод межпоселковый от п. Цвелодубово до п. Овсяное и распределительный газопровод по п. Овсяное</t>
  </si>
  <si>
    <t>Межпоселковый газопровод д. Речка-д. Бабаново со строительством распределительных сетей</t>
  </si>
  <si>
    <t>Распределительный газопровод в п. Ленинское по ул. Крайняя, ул. Брусничная</t>
  </si>
  <si>
    <t>Распределительный газопровод от ГРС"Тихвин"-д.Астрачи с отводом на строящуюся газозаправочную станцию Тихвинского муниципального района</t>
  </si>
  <si>
    <t>Газораспределительная сеть к храму Воскрешения святого праведного Лазаря г. Всеволожска</t>
  </si>
  <si>
    <t xml:space="preserve">Газопровод лупинг высокого давления II категории от ГРС «Сертолово» до отвода к котельной мкр. «Черная речка» г. Сертолово </t>
  </si>
  <si>
    <t>Межпоселковый газопровод от д. Хлоповицы, д. Смольково, д. Ермолино с отводом на д. Пульево</t>
  </si>
  <si>
    <t>Распределительный газопровод по ул. Центральный проезд  в п. Агалатово</t>
  </si>
  <si>
    <t>Распределительный газопровод в п. Барышево по ул. Ореховая, Тенистая, Сосновая</t>
  </si>
  <si>
    <t xml:space="preserve">Закольцовка газораспределительных сетей от ГРС "Сертолово" до ГРС "Пригородная" </t>
  </si>
  <si>
    <t>Подтвержденный ЛенРТК объем компенсации выпадающих доходов от оказания услуг по технологическому присоединению газоиспользующего оборудования к газорспределительным сетям</t>
  </si>
  <si>
    <t xml:space="preserve">от "     " апреля 2021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</si>
</sst>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#,##0.00_р_."/>
    <numFmt numFmtId="168" formatCode="_-* #,##0\ _₽_-;\-* #,##0\ _₽_-;_-* &quot;-&quot;??\ _₽_-;_-@_-"/>
    <numFmt numFmtId="169" formatCode="_-* #,##0.0\ _₽_-;\-* #,##0.0\ _₽_-;_-* &quot;-&quot;??\ _₽_-;_-@_-"/>
    <numFmt numFmtId="170" formatCode="_-* #,##0.0\ _₽_-;\-* #,##0.0\ _₽_-;_-* &quot;-&quot;?\ _₽_-;_-@_-"/>
  </numFmts>
  <fonts count="4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305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8">
    <xf numFmtId="0" fontId="0" fillId="0" borderId="0"/>
    <xf numFmtId="0" fontId="2" fillId="2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>
      <alignment horizontal="left" vertical="center"/>
    </xf>
    <xf numFmtId="0" fontId="2" fillId="0" borderId="1"/>
    <xf numFmtId="0" fontId="2" fillId="0" borderId="0"/>
    <xf numFmtId="0" fontId="6" fillId="9" borderId="0">
      <alignment horizontal="left" vertical="center"/>
    </xf>
    <xf numFmtId="0" fontId="7" fillId="17" borderId="0">
      <alignment horizontal="left" vertical="center"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8" fillId="8" borderId="2" applyNumberFormat="0" applyAlignment="0" applyProtection="0"/>
    <xf numFmtId="0" fontId="9" fillId="22" borderId="3" applyNumberFormat="0" applyAlignment="0" applyProtection="0"/>
    <xf numFmtId="0" fontId="10" fillId="22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25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7" borderId="9" applyNumberFormat="0" applyFont="0" applyAlignment="0" applyProtection="0"/>
    <xf numFmtId="0" fontId="1" fillId="17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/>
    <xf numFmtId="0" fontId="2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5" borderId="0" applyNumberFormat="0" applyBorder="0" applyAlignment="0" applyProtection="0"/>
  </cellStyleXfs>
  <cellXfs count="542">
    <xf numFmtId="0" fontId="0" fillId="0" borderId="0" xfId="0"/>
    <xf numFmtId="0" fontId="18" fillId="25" borderId="0" xfId="280" applyFont="1" applyFill="1"/>
    <xf numFmtId="0" fontId="18" fillId="25" borderId="0" xfId="280" applyFont="1" applyFill="1" applyAlignment="1">
      <alignment horizontal="right"/>
    </xf>
    <xf numFmtId="0" fontId="18" fillId="25" borderId="0" xfId="280" applyFont="1" applyFill="1" applyAlignment="1">
      <alignment horizontal="left"/>
    </xf>
    <xf numFmtId="0" fontId="27" fillId="25" borderId="0" xfId="280" applyFont="1" applyFill="1"/>
    <xf numFmtId="0" fontId="27" fillId="25" borderId="0" xfId="280" applyFont="1" applyFill="1" applyAlignment="1">
      <alignment horizontal="right"/>
    </xf>
    <xf numFmtId="0" fontId="27" fillId="25" borderId="0" xfId="280" applyFont="1" applyFill="1" applyAlignment="1">
      <alignment horizontal="left"/>
    </xf>
    <xf numFmtId="0" fontId="26" fillId="25" borderId="11" xfId="280" applyFont="1" applyFill="1" applyBorder="1" applyAlignment="1">
      <alignment horizontal="center" vertical="top"/>
    </xf>
    <xf numFmtId="0" fontId="26" fillId="25" borderId="12" xfId="280" applyFont="1" applyFill="1" applyBorder="1" applyAlignment="1">
      <alignment horizontal="center" vertical="top"/>
    </xf>
    <xf numFmtId="0" fontId="27" fillId="25" borderId="15" xfId="280" applyFont="1" applyFill="1" applyBorder="1" applyAlignment="1">
      <alignment horizontal="center" vertical="center" wrapText="1"/>
    </xf>
    <xf numFmtId="0" fontId="26" fillId="25" borderId="11" xfId="280" applyFont="1" applyFill="1" applyBorder="1" applyAlignment="1">
      <alignment horizontal="center" vertical="center"/>
    </xf>
    <xf numFmtId="0" fontId="18" fillId="25" borderId="0" xfId="280" applyFont="1" applyFill="1" applyAlignment="1">
      <alignment horizontal="center" vertical="center"/>
    </xf>
    <xf numFmtId="0" fontId="27" fillId="25" borderId="0" xfId="280" applyFont="1" applyFill="1" applyAlignment="1">
      <alignment horizontal="center" vertical="center"/>
    </xf>
    <xf numFmtId="0" fontId="18" fillId="25" borderId="0" xfId="281" applyFont="1" applyFill="1"/>
    <xf numFmtId="0" fontId="28" fillId="25" borderId="0" xfId="0" applyFont="1" applyFill="1" applyBorder="1" applyAlignment="1">
      <alignment horizontal="center" vertical="center" wrapText="1"/>
    </xf>
    <xf numFmtId="0" fontId="18" fillId="25" borderId="0" xfId="280" applyFont="1" applyFill="1" applyAlignment="1">
      <alignment horizontal="center"/>
    </xf>
    <xf numFmtId="0" fontId="27" fillId="25" borderId="0" xfId="280" applyFont="1" applyFill="1" applyAlignment="1">
      <alignment horizontal="center"/>
    </xf>
    <xf numFmtId="0" fontId="26" fillId="25" borderId="11" xfId="280" applyFont="1" applyFill="1" applyBorder="1" applyAlignment="1">
      <alignment horizontal="center"/>
    </xf>
    <xf numFmtId="49" fontId="27" fillId="25" borderId="0" xfId="280" applyNumberFormat="1" applyFont="1" applyFill="1" applyBorder="1" applyAlignment="1">
      <alignment wrapText="1"/>
    </xf>
    <xf numFmtId="49" fontId="27" fillId="25" borderId="11" xfId="280" applyNumberFormat="1" applyFont="1" applyFill="1" applyBorder="1" applyAlignment="1">
      <alignment wrapText="1"/>
    </xf>
    <xf numFmtId="0" fontId="27" fillId="25" borderId="18" xfId="280" applyFont="1" applyFill="1" applyBorder="1" applyAlignment="1">
      <alignment horizontal="center" vertical="top"/>
    </xf>
    <xf numFmtId="0" fontId="26" fillId="25" borderId="18" xfId="280" applyFont="1" applyFill="1" applyBorder="1" applyAlignment="1">
      <alignment horizontal="left" vertical="top" wrapText="1"/>
    </xf>
    <xf numFmtId="4" fontId="26" fillId="25" borderId="18" xfId="280" applyNumberFormat="1" applyFont="1" applyFill="1" applyBorder="1" applyAlignment="1">
      <alignment horizontal="center" vertical="center" wrapText="1"/>
    </xf>
    <xf numFmtId="4" fontId="27" fillId="25" borderId="18" xfId="280" applyNumberFormat="1" applyFont="1" applyFill="1" applyBorder="1" applyAlignment="1">
      <alignment horizontal="center" vertical="center" wrapText="1"/>
    </xf>
    <xf numFmtId="166" fontId="26" fillId="25" borderId="0" xfId="523" applyNumberFormat="1" applyFont="1" applyFill="1" applyBorder="1" applyAlignment="1">
      <alignment horizontal="center" vertical="center"/>
    </xf>
    <xf numFmtId="166" fontId="26" fillId="25" borderId="0" xfId="523" applyNumberFormat="1" applyFont="1" applyFill="1" applyBorder="1" applyAlignment="1">
      <alignment horizontal="right" vertical="top"/>
    </xf>
    <xf numFmtId="166" fontId="26" fillId="25" borderId="0" xfId="523" applyNumberFormat="1" applyFont="1" applyFill="1" applyBorder="1" applyAlignment="1">
      <alignment horizontal="center"/>
    </xf>
    <xf numFmtId="0" fontId="27" fillId="25" borderId="0" xfId="280" applyFont="1" applyFill="1" applyBorder="1" applyAlignment="1">
      <alignment vertical="top" wrapText="1"/>
    </xf>
    <xf numFmtId="0" fontId="27" fillId="25" borderId="18" xfId="280" applyFont="1" applyFill="1" applyBorder="1" applyAlignment="1">
      <alignment horizontal="center" vertical="center"/>
    </xf>
    <xf numFmtId="0" fontId="27" fillId="25" borderId="0" xfId="280" applyFont="1" applyFill="1" applyBorder="1" applyAlignment="1">
      <alignment horizontal="center" vertical="center" wrapText="1"/>
    </xf>
    <xf numFmtId="165" fontId="29" fillId="25" borderId="0" xfId="524" applyNumberFormat="1" applyFont="1" applyFill="1" applyBorder="1" applyAlignment="1">
      <alignment vertical="center"/>
    </xf>
    <xf numFmtId="0" fontId="37" fillId="25" borderId="0" xfId="280" applyFont="1" applyFill="1" applyAlignment="1">
      <alignment horizontal="center" vertical="center"/>
    </xf>
    <xf numFmtId="0" fontId="37" fillId="25" borderId="0" xfId="280" applyFont="1" applyFill="1" applyAlignment="1">
      <alignment horizontal="left"/>
    </xf>
    <xf numFmtId="0" fontId="37" fillId="25" borderId="0" xfId="280" applyFont="1" applyFill="1" applyAlignment="1">
      <alignment horizontal="right"/>
    </xf>
    <xf numFmtId="0" fontId="37" fillId="25" borderId="0" xfId="280" applyFont="1" applyFill="1"/>
    <xf numFmtId="0" fontId="37" fillId="25" borderId="0" xfId="280" applyFont="1" applyFill="1" applyAlignment="1">
      <alignment horizontal="center"/>
    </xf>
    <xf numFmtId="49" fontId="38" fillId="25" borderId="11" xfId="280" applyNumberFormat="1" applyFont="1" applyFill="1" applyBorder="1" applyAlignment="1">
      <alignment wrapText="1"/>
    </xf>
    <xf numFmtId="166" fontId="34" fillId="0" borderId="11" xfId="523" applyNumberFormat="1" applyFont="1" applyFill="1" applyBorder="1" applyAlignment="1">
      <alignment horizontal="center"/>
    </xf>
    <xf numFmtId="43" fontId="27" fillId="0" borderId="13" xfId="523" applyFont="1" applyFill="1" applyBorder="1" applyAlignment="1">
      <alignment horizontal="center" vertical="center"/>
    </xf>
    <xf numFmtId="43" fontId="27" fillId="0" borderId="13" xfId="523" applyFont="1" applyFill="1" applyBorder="1" applyAlignment="1">
      <alignment horizontal="center"/>
    </xf>
    <xf numFmtId="43" fontId="27" fillId="0" borderId="11" xfId="523" applyFont="1" applyFill="1" applyBorder="1" applyAlignment="1">
      <alignment horizontal="center"/>
    </xf>
    <xf numFmtId="43" fontId="34" fillId="0" borderId="13" xfId="523" applyFont="1" applyFill="1" applyBorder="1" applyAlignment="1">
      <alignment horizontal="center" vertical="center"/>
    </xf>
    <xf numFmtId="43" fontId="34" fillId="0" borderId="13" xfId="523" applyFont="1" applyFill="1" applyBorder="1" applyAlignment="1">
      <alignment horizontal="center"/>
    </xf>
    <xf numFmtId="0" fontId="27" fillId="0" borderId="11" xfId="281" applyFont="1" applyFill="1" applyBorder="1" applyAlignment="1">
      <alignment horizontal="left" vertical="top"/>
    </xf>
    <xf numFmtId="0" fontId="27" fillId="0" borderId="13" xfId="281" applyFont="1" applyFill="1" applyBorder="1" applyAlignment="1">
      <alignment horizontal="center" vertical="center"/>
    </xf>
    <xf numFmtId="4" fontId="27" fillId="0" borderId="13" xfId="281" applyNumberFormat="1" applyFont="1" applyFill="1" applyBorder="1" applyAlignment="1">
      <alignment horizontal="center" vertical="center"/>
    </xf>
    <xf numFmtId="4" fontId="27" fillId="0" borderId="11" xfId="281" applyNumberFormat="1" applyFont="1" applyFill="1" applyBorder="1" applyAlignment="1">
      <alignment vertical="top"/>
    </xf>
    <xf numFmtId="4" fontId="27" fillId="0" borderId="14" xfId="281" applyNumberFormat="1" applyFont="1" applyFill="1" applyBorder="1" applyAlignment="1">
      <alignment horizontal="right" vertical="top"/>
    </xf>
    <xf numFmtId="4" fontId="27" fillId="0" borderId="11" xfId="281" applyNumberFormat="1" applyFont="1" applyFill="1" applyBorder="1" applyAlignment="1">
      <alignment horizontal="center" vertical="center"/>
    </xf>
    <xf numFmtId="4" fontId="27" fillId="0" borderId="11" xfId="281" applyNumberFormat="1" applyFont="1" applyFill="1" applyBorder="1" applyAlignment="1">
      <alignment horizontal="center"/>
    </xf>
    <xf numFmtId="0" fontId="34" fillId="0" borderId="13" xfId="281" applyFont="1" applyFill="1" applyBorder="1" applyAlignment="1">
      <alignment horizontal="center" vertical="center"/>
    </xf>
    <xf numFmtId="4" fontId="34" fillId="0" borderId="13" xfId="281" applyNumberFormat="1" applyFont="1" applyFill="1" applyBorder="1" applyAlignment="1">
      <alignment horizontal="center" vertical="center"/>
    </xf>
    <xf numFmtId="0" fontId="34" fillId="0" borderId="13" xfId="281" applyFont="1" applyFill="1" applyBorder="1" applyAlignment="1">
      <alignment vertical="center"/>
    </xf>
    <xf numFmtId="4" fontId="34" fillId="0" borderId="13" xfId="281" applyNumberFormat="1" applyFont="1" applyFill="1" applyBorder="1" applyAlignment="1">
      <alignment horizontal="center"/>
    </xf>
    <xf numFmtId="0" fontId="34" fillId="0" borderId="13" xfId="281" applyFont="1" applyFill="1" applyBorder="1" applyAlignment="1">
      <alignment horizontal="center"/>
    </xf>
    <xf numFmtId="0" fontId="18" fillId="0" borderId="11" xfId="281" applyFont="1" applyFill="1" applyBorder="1"/>
    <xf numFmtId="0" fontId="18" fillId="0" borderId="0" xfId="281" applyFont="1" applyFill="1" applyAlignment="1">
      <alignment horizontal="center"/>
    </xf>
    <xf numFmtId="2" fontId="27" fillId="0" borderId="11" xfId="281" applyNumberFormat="1" applyFont="1" applyFill="1" applyBorder="1" applyAlignment="1">
      <alignment horizontal="center" vertical="center"/>
    </xf>
    <xf numFmtId="2" fontId="27" fillId="0" borderId="13" xfId="281" applyNumberFormat="1" applyFont="1" applyFill="1" applyBorder="1" applyAlignment="1">
      <alignment horizontal="center" vertical="center"/>
    </xf>
    <xf numFmtId="17" fontId="27" fillId="0" borderId="11" xfId="281" applyNumberFormat="1" applyFont="1" applyFill="1" applyBorder="1" applyAlignment="1">
      <alignment horizontal="center" vertical="top"/>
    </xf>
    <xf numFmtId="43" fontId="27" fillId="0" borderId="11" xfId="523" applyFont="1" applyFill="1" applyBorder="1" applyAlignment="1">
      <alignment horizontal="center" vertical="center"/>
    </xf>
    <xf numFmtId="43" fontId="27" fillId="0" borderId="11" xfId="523" applyFont="1" applyFill="1" applyBorder="1" applyAlignment="1">
      <alignment horizontal="right" vertical="center"/>
    </xf>
    <xf numFmtId="43" fontId="27" fillId="0" borderId="11" xfId="523" applyFont="1" applyFill="1" applyBorder="1" applyAlignment="1">
      <alignment vertical="top"/>
    </xf>
    <xf numFmtId="43" fontId="27" fillId="0" borderId="11" xfId="523" applyFont="1" applyFill="1" applyBorder="1" applyAlignment="1">
      <alignment horizontal="right" vertical="top"/>
    </xf>
    <xf numFmtId="43" fontId="26" fillId="0" borderId="11" xfId="523" applyFont="1" applyFill="1" applyBorder="1" applyAlignment="1">
      <alignment horizontal="center" vertical="center"/>
    </xf>
    <xf numFmtId="43" fontId="27" fillId="0" borderId="11" xfId="523" applyFont="1" applyFill="1" applyBorder="1" applyAlignment="1">
      <alignment vertical="center"/>
    </xf>
    <xf numFmtId="0" fontId="26" fillId="0" borderId="11" xfId="281" applyFont="1" applyFill="1" applyBorder="1" applyAlignment="1">
      <alignment horizontal="center" vertical="top"/>
    </xf>
    <xf numFmtId="0" fontId="26" fillId="0" borderId="11" xfId="281" applyFont="1" applyFill="1" applyBorder="1" applyAlignment="1">
      <alignment horizontal="center" vertical="center"/>
    </xf>
    <xf numFmtId="0" fontId="26" fillId="0" borderId="11" xfId="281" applyFont="1" applyFill="1" applyBorder="1" applyAlignment="1">
      <alignment horizontal="center"/>
    </xf>
    <xf numFmtId="43" fontId="27" fillId="0" borderId="11" xfId="523" applyFont="1" applyFill="1" applyBorder="1" applyAlignment="1">
      <alignment horizontal="right" vertical="top" wrapText="1"/>
    </xf>
    <xf numFmtId="43" fontId="27" fillId="0" borderId="11" xfId="523" applyFont="1" applyFill="1" applyBorder="1" applyAlignment="1">
      <alignment horizontal="center" wrapText="1"/>
    </xf>
    <xf numFmtId="43" fontId="27" fillId="0" borderId="13" xfId="523" applyFont="1" applyFill="1" applyBorder="1" applyAlignment="1">
      <alignment horizontal="right" vertical="center"/>
    </xf>
    <xf numFmtId="43" fontId="27" fillId="0" borderId="20" xfId="523" applyFont="1" applyFill="1" applyBorder="1" applyAlignment="1">
      <alignment horizontal="center" vertical="center"/>
    </xf>
    <xf numFmtId="166" fontId="27" fillId="0" borderId="13" xfId="523" applyNumberFormat="1" applyFont="1" applyFill="1" applyBorder="1" applyAlignment="1">
      <alignment horizontal="right" vertical="center"/>
    </xf>
    <xf numFmtId="4" fontId="27" fillId="0" borderId="11" xfId="281" applyNumberFormat="1" applyFont="1" applyFill="1" applyBorder="1" applyAlignment="1">
      <alignment horizontal="right" vertical="top"/>
    </xf>
    <xf numFmtId="0" fontId="34" fillId="0" borderId="11" xfId="281" applyFont="1" applyFill="1" applyBorder="1" applyAlignment="1">
      <alignment horizontal="left" vertical="top"/>
    </xf>
    <xf numFmtId="0" fontId="34" fillId="0" borderId="11" xfId="281" applyFont="1" applyFill="1" applyBorder="1" applyAlignment="1">
      <alignment horizontal="center" vertical="center"/>
    </xf>
    <xf numFmtId="4" fontId="34" fillId="0" borderId="11" xfId="281" applyNumberFormat="1" applyFont="1" applyFill="1" applyBorder="1" applyAlignment="1">
      <alignment horizontal="center" vertical="center"/>
    </xf>
    <xf numFmtId="4" fontId="34" fillId="0" borderId="14" xfId="281" applyNumberFormat="1" applyFont="1" applyFill="1" applyBorder="1" applyAlignment="1">
      <alignment horizontal="right" vertical="top"/>
    </xf>
    <xf numFmtId="4" fontId="34" fillId="0" borderId="11" xfId="281" applyNumberFormat="1" applyFont="1" applyFill="1" applyBorder="1" applyAlignment="1">
      <alignment horizontal="right" vertical="top"/>
    </xf>
    <xf numFmtId="0" fontId="34" fillId="0" borderId="11" xfId="281" applyFont="1" applyFill="1" applyBorder="1" applyAlignment="1">
      <alignment horizontal="center" vertical="top"/>
    </xf>
    <xf numFmtId="166" fontId="26" fillId="0" borderId="11" xfId="523" applyNumberFormat="1" applyFont="1" applyFill="1" applyBorder="1" applyAlignment="1">
      <alignment horizontal="center" vertical="center"/>
    </xf>
    <xf numFmtId="49" fontId="18" fillId="25" borderId="11" xfId="281" applyNumberFormat="1" applyFont="1" applyFill="1" applyBorder="1" applyAlignment="1">
      <alignment wrapText="1"/>
    </xf>
    <xf numFmtId="0" fontId="18" fillId="25" borderId="0" xfId="280" applyFont="1" applyFill="1" applyAlignment="1">
      <alignment vertical="center"/>
    </xf>
    <xf numFmtId="0" fontId="39" fillId="25" borderId="0" xfId="280" applyFont="1" applyFill="1" applyAlignment="1">
      <alignment vertical="center"/>
    </xf>
    <xf numFmtId="167" fontId="40" fillId="25" borderId="0" xfId="524" applyNumberFormat="1" applyFont="1" applyFill="1" applyBorder="1" applyAlignment="1">
      <alignment vertical="center"/>
    </xf>
    <xf numFmtId="4" fontId="27" fillId="25" borderId="11" xfId="281" applyNumberFormat="1" applyFont="1" applyFill="1" applyBorder="1" applyAlignment="1">
      <alignment horizontal="center" vertical="center"/>
    </xf>
    <xf numFmtId="4" fontId="26" fillId="25" borderId="11" xfId="281" applyNumberFormat="1" applyFont="1" applyFill="1" applyBorder="1" applyAlignment="1">
      <alignment horizontal="center" vertical="center"/>
    </xf>
    <xf numFmtId="4" fontId="26" fillId="25" borderId="11" xfId="281" applyNumberFormat="1" applyFont="1" applyFill="1" applyBorder="1" applyAlignment="1">
      <alignment horizontal="center" vertical="center" wrapText="1"/>
    </xf>
    <xf numFmtId="166" fontId="26" fillId="25" borderId="11" xfId="523" applyNumberFormat="1" applyFont="1" applyFill="1" applyBorder="1" applyAlignment="1">
      <alignment horizontal="center" vertical="center"/>
    </xf>
    <xf numFmtId="43" fontId="27" fillId="25" borderId="13" xfId="523" applyFont="1" applyFill="1" applyBorder="1" applyAlignment="1">
      <alignment horizontal="center" vertical="center"/>
    </xf>
    <xf numFmtId="4" fontId="27" fillId="25" borderId="13" xfId="280" applyNumberFormat="1" applyFont="1" applyFill="1" applyBorder="1" applyAlignment="1">
      <alignment horizontal="center" vertical="center"/>
    </xf>
    <xf numFmtId="4" fontId="27" fillId="25" borderId="11" xfId="280" applyNumberFormat="1" applyFont="1" applyFill="1" applyBorder="1" applyAlignment="1">
      <alignment horizontal="center" vertical="center"/>
    </xf>
    <xf numFmtId="4" fontId="26" fillId="25" borderId="11" xfId="280" applyNumberFormat="1" applyFont="1" applyFill="1" applyBorder="1" applyAlignment="1">
      <alignment horizontal="center" vertical="center" wrapText="1"/>
    </xf>
    <xf numFmtId="4" fontId="27" fillId="25" borderId="11" xfId="280" applyNumberFormat="1" applyFont="1" applyFill="1" applyBorder="1" applyAlignment="1">
      <alignment horizontal="center"/>
    </xf>
    <xf numFmtId="43" fontId="34" fillId="25" borderId="13" xfId="523" applyFont="1" applyFill="1" applyBorder="1" applyAlignment="1">
      <alignment horizontal="center" vertical="center"/>
    </xf>
    <xf numFmtId="49" fontId="27" fillId="25" borderId="11" xfId="280" applyNumberFormat="1" applyFont="1" applyFill="1" applyBorder="1" applyAlignment="1">
      <alignment horizontal="center" wrapText="1"/>
    </xf>
    <xf numFmtId="0" fontId="27" fillId="25" borderId="11" xfId="280" applyFont="1" applyFill="1" applyBorder="1" applyAlignment="1">
      <alignment horizontal="center" vertical="top"/>
    </xf>
    <xf numFmtId="0" fontId="27" fillId="0" borderId="11" xfId="281" applyFont="1" applyFill="1" applyBorder="1" applyAlignment="1">
      <alignment horizontal="center" vertical="center"/>
    </xf>
    <xf numFmtId="0" fontId="27" fillId="0" borderId="11" xfId="281" applyFont="1" applyFill="1" applyBorder="1" applyAlignment="1">
      <alignment horizontal="center" vertical="top"/>
    </xf>
    <xf numFmtId="49" fontId="27" fillId="25" borderId="11" xfId="281" applyNumberFormat="1" applyFont="1" applyFill="1" applyBorder="1" applyAlignment="1">
      <alignment horizontal="center" wrapText="1"/>
    </xf>
    <xf numFmtId="43" fontId="27" fillId="25" borderId="11" xfId="523" applyFont="1" applyFill="1" applyBorder="1" applyAlignment="1">
      <alignment horizontal="center"/>
    </xf>
    <xf numFmtId="0" fontId="27" fillId="25" borderId="11" xfId="281" applyFont="1" applyFill="1" applyBorder="1" applyAlignment="1">
      <alignment horizontal="center" vertical="center"/>
    </xf>
    <xf numFmtId="4" fontId="44" fillId="0" borderId="0" xfId="0" applyNumberFormat="1" applyFont="1"/>
    <xf numFmtId="2" fontId="44" fillId="0" borderId="0" xfId="0" applyNumberFormat="1" applyFont="1"/>
    <xf numFmtId="0" fontId="44" fillId="0" borderId="0" xfId="0" applyFont="1"/>
    <xf numFmtId="0" fontId="47" fillId="0" borderId="0" xfId="0" applyFont="1"/>
    <xf numFmtId="0" fontId="44" fillId="0" borderId="11" xfId="0" applyFont="1" applyBorder="1"/>
    <xf numFmtId="4" fontId="44" fillId="25" borderId="11" xfId="0" applyNumberFormat="1" applyFont="1" applyFill="1" applyBorder="1"/>
    <xf numFmtId="0" fontId="44" fillId="25" borderId="0" xfId="0" applyFont="1" applyFill="1"/>
    <xf numFmtId="0" fontId="48" fillId="0" borderId="0" xfId="0" applyFont="1"/>
    <xf numFmtId="0" fontId="48" fillId="0" borderId="0" xfId="0" applyFont="1" applyFill="1"/>
    <xf numFmtId="4" fontId="44" fillId="25" borderId="0" xfId="0" applyNumberFormat="1" applyFont="1" applyFill="1" applyBorder="1"/>
    <xf numFmtId="4" fontId="48" fillId="25" borderId="0" xfId="0" applyNumberFormat="1" applyFont="1" applyFill="1" applyBorder="1"/>
    <xf numFmtId="4" fontId="44" fillId="0" borderId="11" xfId="0" applyNumberFormat="1" applyFont="1" applyBorder="1"/>
    <xf numFmtId="0" fontId="44" fillId="0" borderId="0" xfId="0" applyFont="1" applyAlignment="1">
      <alignment vertical="center"/>
    </xf>
    <xf numFmtId="4" fontId="44" fillId="0" borderId="0" xfId="0" applyNumberFormat="1" applyFont="1" applyBorder="1"/>
    <xf numFmtId="4" fontId="48" fillId="0" borderId="11" xfId="0" applyNumberFormat="1" applyFont="1" applyBorder="1"/>
    <xf numFmtId="4" fontId="48" fillId="0" borderId="0" xfId="0" applyNumberFormat="1" applyFont="1" applyBorder="1"/>
    <xf numFmtId="0" fontId="44" fillId="0" borderId="0" xfId="0" applyFont="1" applyAlignment="1">
      <alignment horizontal="center" vertical="center"/>
    </xf>
    <xf numFmtId="43" fontId="47" fillId="0" borderId="0" xfId="523" applyFont="1"/>
    <xf numFmtId="0" fontId="44" fillId="25" borderId="0" xfId="0" applyFont="1" applyFill="1" applyBorder="1"/>
    <xf numFmtId="0" fontId="48" fillId="25" borderId="0" xfId="0" applyFont="1" applyFill="1" applyBorder="1" applyAlignment="1">
      <alignment vertical="center" wrapText="1"/>
    </xf>
    <xf numFmtId="0" fontId="45" fillId="0" borderId="0" xfId="0" applyFont="1"/>
    <xf numFmtId="43" fontId="46" fillId="0" borderId="0" xfId="523" applyFont="1"/>
    <xf numFmtId="0" fontId="45" fillId="0" borderId="11" xfId="0" applyFont="1" applyBorder="1" applyAlignment="1">
      <alignment horizontal="center" vertical="center"/>
    </xf>
    <xf numFmtId="43" fontId="45" fillId="0" borderId="11" xfId="523" applyNumberFormat="1" applyFont="1" applyBorder="1"/>
    <xf numFmtId="43" fontId="45" fillId="0" borderId="11" xfId="0" applyNumberFormat="1" applyFont="1" applyBorder="1"/>
    <xf numFmtId="43" fontId="45" fillId="0" borderId="11" xfId="523" applyFont="1" applyBorder="1"/>
    <xf numFmtId="0" fontId="45" fillId="0" borderId="0" xfId="0" applyFont="1" applyAlignment="1">
      <alignment horizontal="right"/>
    </xf>
    <xf numFmtId="43" fontId="45" fillId="0" borderId="0" xfId="0" applyNumberFormat="1" applyFont="1"/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/>
    <xf numFmtId="0" fontId="45" fillId="0" borderId="11" xfId="0" applyFont="1" applyBorder="1" applyAlignment="1">
      <alignment vertical="center"/>
    </xf>
    <xf numFmtId="0" fontId="18" fillId="25" borderId="0" xfId="281" applyFont="1" applyFill="1" applyAlignment="1">
      <alignment horizontal="center" vertical="center"/>
    </xf>
    <xf numFmtId="0" fontId="18" fillId="25" borderId="0" xfId="281" applyFont="1" applyFill="1" applyAlignment="1">
      <alignment horizontal="left"/>
    </xf>
    <xf numFmtId="0" fontId="18" fillId="25" borderId="0" xfId="281" applyFont="1" applyFill="1" applyAlignment="1">
      <alignment horizontal="right"/>
    </xf>
    <xf numFmtId="0" fontId="18" fillId="25" borderId="0" xfId="281" applyFont="1" applyFill="1" applyAlignment="1">
      <alignment horizontal="center"/>
    </xf>
    <xf numFmtId="49" fontId="27" fillId="25" borderId="0" xfId="281" applyNumberFormat="1" applyFont="1" applyFill="1" applyBorder="1" applyAlignment="1">
      <alignment wrapText="1"/>
    </xf>
    <xf numFmtId="0" fontId="18" fillId="25" borderId="0" xfId="281" applyFont="1" applyFill="1" applyAlignment="1">
      <alignment vertical="center"/>
    </xf>
    <xf numFmtId="0" fontId="39" fillId="25" borderId="0" xfId="281" applyFont="1" applyFill="1" applyAlignment="1">
      <alignment vertical="center"/>
    </xf>
    <xf numFmtId="0" fontId="27" fillId="25" borderId="0" xfId="281" applyFont="1" applyFill="1" applyAlignment="1">
      <alignment horizontal="center" vertical="center"/>
    </xf>
    <xf numFmtId="0" fontId="27" fillId="25" borderId="0" xfId="281" applyFont="1" applyFill="1" applyAlignment="1">
      <alignment horizontal="left"/>
    </xf>
    <xf numFmtId="0" fontId="27" fillId="25" borderId="0" xfId="281" applyFont="1" applyFill="1" applyAlignment="1">
      <alignment horizontal="right"/>
    </xf>
    <xf numFmtId="0" fontId="27" fillId="25" borderId="0" xfId="281" applyFont="1" applyFill="1"/>
    <xf numFmtId="0" fontId="27" fillId="25" borderId="0" xfId="281" applyFont="1" applyFill="1" applyAlignment="1">
      <alignment horizontal="center"/>
    </xf>
    <xf numFmtId="0" fontId="27" fillId="25" borderId="15" xfId="281" applyFont="1" applyFill="1" applyBorder="1" applyAlignment="1">
      <alignment horizontal="center" vertical="center" wrapText="1"/>
    </xf>
    <xf numFmtId="0" fontId="26" fillId="25" borderId="11" xfId="281" applyFont="1" applyFill="1" applyBorder="1" applyAlignment="1">
      <alignment horizontal="center" vertical="top"/>
    </xf>
    <xf numFmtId="0" fontId="26" fillId="25" borderId="11" xfId="281" applyFont="1" applyFill="1" applyBorder="1" applyAlignment="1">
      <alignment horizontal="center" vertical="center"/>
    </xf>
    <xf numFmtId="0" fontId="27" fillId="25" borderId="11" xfId="281" applyFont="1" applyFill="1" applyBorder="1" applyAlignment="1">
      <alignment horizontal="center" vertical="center" wrapText="1"/>
    </xf>
    <xf numFmtId="0" fontId="26" fillId="25" borderId="12" xfId="281" applyFont="1" applyFill="1" applyBorder="1" applyAlignment="1">
      <alignment horizontal="center" vertical="top"/>
    </xf>
    <xf numFmtId="0" fontId="26" fillId="25" borderId="11" xfId="281" applyFont="1" applyFill="1" applyBorder="1" applyAlignment="1">
      <alignment horizontal="center"/>
    </xf>
    <xf numFmtId="49" fontId="27" fillId="25" borderId="11" xfId="281" applyNumberFormat="1" applyFont="1" applyFill="1" applyBorder="1" applyAlignment="1">
      <alignment wrapText="1"/>
    </xf>
    <xf numFmtId="4" fontId="27" fillId="0" borderId="12" xfId="281" applyNumberFormat="1" applyFont="1" applyFill="1" applyBorder="1" applyAlignment="1">
      <alignment vertical="top"/>
    </xf>
    <xf numFmtId="0" fontId="18" fillId="0" borderId="11" xfId="281" applyFont="1" applyFill="1" applyBorder="1" applyAlignment="1">
      <alignment horizontal="center" vertical="center"/>
    </xf>
    <xf numFmtId="4" fontId="34" fillId="0" borderId="13" xfId="523" applyNumberFormat="1" applyFont="1" applyFill="1" applyBorder="1" applyAlignment="1">
      <alignment horizontal="center" vertical="center"/>
    </xf>
    <xf numFmtId="43" fontId="27" fillId="26" borderId="13" xfId="523" applyFont="1" applyFill="1" applyBorder="1" applyAlignment="1">
      <alignment horizontal="center" vertical="center"/>
    </xf>
    <xf numFmtId="4" fontId="27" fillId="0" borderId="11" xfId="281" applyNumberFormat="1" applyFont="1" applyFill="1" applyBorder="1" applyAlignment="1">
      <alignment horizontal="center" vertical="top"/>
    </xf>
    <xf numFmtId="4" fontId="27" fillId="0" borderId="12" xfId="281" applyNumberFormat="1" applyFont="1" applyFill="1" applyBorder="1" applyAlignment="1">
      <alignment horizontal="center" vertical="top"/>
    </xf>
    <xf numFmtId="43" fontId="27" fillId="0" borderId="11" xfId="281" applyNumberFormat="1" applyFont="1" applyFill="1" applyBorder="1" applyAlignment="1">
      <alignment horizontal="center" vertical="center"/>
    </xf>
    <xf numFmtId="4" fontId="27" fillId="0" borderId="11" xfId="281" applyNumberFormat="1" applyFont="1" applyFill="1" applyBorder="1" applyAlignment="1">
      <alignment horizontal="center" vertical="top" wrapText="1"/>
    </xf>
    <xf numFmtId="4" fontId="27" fillId="0" borderId="11" xfId="281" applyNumberFormat="1" applyFont="1" applyFill="1" applyBorder="1" applyAlignment="1">
      <alignment horizontal="center" wrapText="1"/>
    </xf>
    <xf numFmtId="4" fontId="27" fillId="0" borderId="11" xfId="281" applyNumberFormat="1" applyFont="1" applyFill="1" applyBorder="1" applyAlignment="1">
      <alignment horizontal="right" vertical="top" wrapText="1"/>
    </xf>
    <xf numFmtId="0" fontId="26" fillId="0" borderId="12" xfId="281" applyFont="1" applyFill="1" applyBorder="1" applyAlignment="1">
      <alignment horizontal="center" vertical="top"/>
    </xf>
    <xf numFmtId="4" fontId="34" fillId="0" borderId="12" xfId="281" applyNumberFormat="1" applyFont="1" applyFill="1" applyBorder="1" applyAlignment="1">
      <alignment vertical="top"/>
    </xf>
    <xf numFmtId="4" fontId="34" fillId="0" borderId="14" xfId="281" applyNumberFormat="1" applyFont="1" applyFill="1" applyBorder="1" applyAlignment="1">
      <alignment vertical="top"/>
    </xf>
    <xf numFmtId="4" fontId="34" fillId="0" borderId="11" xfId="281" applyNumberFormat="1" applyFont="1" applyFill="1" applyBorder="1" applyAlignment="1">
      <alignment horizontal="center"/>
    </xf>
    <xf numFmtId="4" fontId="27" fillId="0" borderId="14" xfId="281" applyNumberFormat="1" applyFont="1" applyFill="1" applyBorder="1" applyAlignment="1">
      <alignment vertical="top"/>
    </xf>
    <xf numFmtId="4" fontId="27" fillId="0" borderId="11" xfId="281" applyNumberFormat="1" applyFont="1" applyFill="1" applyBorder="1" applyAlignment="1">
      <alignment horizontal="right" vertical="top" indent="2"/>
    </xf>
    <xf numFmtId="0" fontId="27" fillId="0" borderId="11" xfId="281" applyFont="1" applyFill="1" applyBorder="1" applyAlignment="1">
      <alignment horizontal="center"/>
    </xf>
    <xf numFmtId="43" fontId="27" fillId="0" borderId="11" xfId="523" applyFont="1" applyFill="1" applyBorder="1" applyAlignment="1">
      <alignment horizontal="left" vertical="top"/>
    </xf>
    <xf numFmtId="4" fontId="27" fillId="0" borderId="14" xfId="281" applyNumberFormat="1" applyFont="1" applyFill="1" applyBorder="1" applyAlignment="1">
      <alignment horizontal="right" vertical="top" indent="2"/>
    </xf>
    <xf numFmtId="0" fontId="27" fillId="0" borderId="12" xfId="281" applyFont="1" applyFill="1" applyBorder="1" applyAlignment="1">
      <alignment horizontal="left" vertical="top"/>
    </xf>
    <xf numFmtId="43" fontId="27" fillId="0" borderId="12" xfId="281" applyNumberFormat="1" applyFont="1" applyFill="1" applyBorder="1" applyAlignment="1">
      <alignment horizontal="center" vertical="center"/>
    </xf>
    <xf numFmtId="4" fontId="27" fillId="0" borderId="12" xfId="281" applyNumberFormat="1" applyFont="1" applyFill="1" applyBorder="1" applyAlignment="1">
      <alignment horizontal="center"/>
    </xf>
    <xf numFmtId="0" fontId="27" fillId="0" borderId="12" xfId="281" applyFont="1" applyFill="1" applyBorder="1" applyAlignment="1">
      <alignment horizontal="center" vertical="top"/>
    </xf>
    <xf numFmtId="43" fontId="27" fillId="0" borderId="11" xfId="281" applyNumberFormat="1" applyFont="1" applyFill="1" applyBorder="1" applyAlignment="1">
      <alignment horizontal="center"/>
    </xf>
    <xf numFmtId="0" fontId="27" fillId="0" borderId="15" xfId="281" applyFont="1" applyFill="1" applyBorder="1" applyAlignment="1">
      <alignment horizontal="left" vertical="top"/>
    </xf>
    <xf numFmtId="4" fontId="27" fillId="0" borderId="15" xfId="281" applyNumberFormat="1" applyFont="1" applyFill="1" applyBorder="1" applyAlignment="1">
      <alignment horizontal="center"/>
    </xf>
    <xf numFmtId="0" fontId="27" fillId="0" borderId="15" xfId="281" applyFont="1" applyFill="1" applyBorder="1" applyAlignment="1">
      <alignment horizontal="center" vertical="top"/>
    </xf>
    <xf numFmtId="0" fontId="18" fillId="0" borderId="11" xfId="281" applyFont="1" applyFill="1" applyBorder="1" applyAlignment="1">
      <alignment horizontal="center"/>
    </xf>
    <xf numFmtId="4" fontId="27" fillId="0" borderId="13" xfId="281" applyNumberFormat="1" applyFont="1" applyFill="1" applyBorder="1" applyAlignment="1">
      <alignment horizontal="right" vertical="top"/>
    </xf>
    <xf numFmtId="4" fontId="27" fillId="0" borderId="13" xfId="281" applyNumberFormat="1" applyFont="1" applyFill="1" applyBorder="1" applyAlignment="1">
      <alignment horizontal="center"/>
    </xf>
    <xf numFmtId="4" fontId="27" fillId="0" borderId="12" xfId="281" applyNumberFormat="1" applyFont="1" applyFill="1" applyBorder="1" applyAlignment="1">
      <alignment horizontal="right" vertical="top"/>
    </xf>
    <xf numFmtId="4" fontId="27" fillId="0" borderId="13" xfId="281" applyNumberFormat="1" applyFont="1" applyFill="1" applyBorder="1" applyAlignment="1">
      <alignment horizontal="right" vertical="center"/>
    </xf>
    <xf numFmtId="0" fontId="35" fillId="25" borderId="0" xfId="281" applyFont="1" applyFill="1"/>
    <xf numFmtId="4" fontId="27" fillId="26" borderId="13" xfId="281" applyNumberFormat="1" applyFont="1" applyFill="1" applyBorder="1" applyAlignment="1">
      <alignment horizontal="center" vertical="center"/>
    </xf>
    <xf numFmtId="0" fontId="27" fillId="0" borderId="11" xfId="281" applyFont="1" applyFill="1" applyBorder="1" applyAlignment="1">
      <alignment horizontal="right" vertical="top" indent="2"/>
    </xf>
    <xf numFmtId="0" fontId="27" fillId="0" borderId="11" xfId="281" applyFont="1" applyFill="1" applyBorder="1" applyAlignment="1">
      <alignment horizontal="left" vertical="top" indent="2"/>
    </xf>
    <xf numFmtId="0" fontId="36" fillId="0" borderId="11" xfId="281" applyFont="1" applyFill="1" applyBorder="1" applyAlignment="1">
      <alignment horizontal="center" vertical="center"/>
    </xf>
    <xf numFmtId="0" fontId="38" fillId="0" borderId="11" xfId="281" applyFont="1" applyFill="1" applyBorder="1" applyAlignment="1">
      <alignment horizontal="center" vertical="top"/>
    </xf>
    <xf numFmtId="0" fontId="26" fillId="0" borderId="11" xfId="281" applyFont="1" applyFill="1" applyBorder="1" applyAlignment="1">
      <alignment horizontal="left" vertical="top"/>
    </xf>
    <xf numFmtId="4" fontId="27" fillId="26" borderId="11" xfId="281" applyNumberFormat="1" applyFont="1" applyFill="1" applyBorder="1" applyAlignment="1">
      <alignment horizontal="center" vertical="center"/>
    </xf>
    <xf numFmtId="4" fontId="26" fillId="0" borderId="11" xfId="281" applyNumberFormat="1" applyFont="1" applyFill="1" applyBorder="1" applyAlignment="1">
      <alignment horizontal="center" vertical="center"/>
    </xf>
    <xf numFmtId="43" fontId="38" fillId="0" borderId="11" xfId="523" applyFont="1" applyFill="1" applyBorder="1" applyAlignment="1">
      <alignment horizontal="center" vertical="top"/>
    </xf>
    <xf numFmtId="43" fontId="38" fillId="0" borderId="11" xfId="281" applyNumberFormat="1" applyFont="1" applyFill="1" applyBorder="1" applyAlignment="1">
      <alignment horizontal="center" vertical="top"/>
    </xf>
    <xf numFmtId="0" fontId="26" fillId="0" borderId="11" xfId="281" applyFont="1" applyFill="1" applyBorder="1" applyAlignment="1">
      <alignment horizontal="left" vertical="center" wrapText="1"/>
    </xf>
    <xf numFmtId="4" fontId="26" fillId="26" borderId="11" xfId="281" applyNumberFormat="1" applyFont="1" applyFill="1" applyBorder="1" applyAlignment="1">
      <alignment horizontal="center" vertical="center" wrapText="1"/>
    </xf>
    <xf numFmtId="166" fontId="26" fillId="26" borderId="11" xfId="523" applyNumberFormat="1" applyFont="1" applyFill="1" applyBorder="1" applyAlignment="1">
      <alignment horizontal="center" vertical="center"/>
    </xf>
    <xf numFmtId="166" fontId="36" fillId="0" borderId="11" xfId="523" applyNumberFormat="1" applyFont="1" applyFill="1" applyBorder="1" applyAlignment="1">
      <alignment horizontal="center" vertical="center"/>
    </xf>
    <xf numFmtId="43" fontId="38" fillId="0" borderId="11" xfId="281" applyNumberFormat="1" applyFont="1" applyFill="1" applyBorder="1" applyAlignment="1">
      <alignment horizontal="center" vertical="center"/>
    </xf>
    <xf numFmtId="0" fontId="38" fillId="0" borderId="11" xfId="281" applyFont="1" applyFill="1" applyBorder="1" applyAlignment="1">
      <alignment horizontal="center" vertical="center"/>
    </xf>
    <xf numFmtId="0" fontId="27" fillId="25" borderId="18" xfId="281" applyFont="1" applyFill="1" applyBorder="1" applyAlignment="1">
      <alignment horizontal="center" vertical="center"/>
    </xf>
    <xf numFmtId="0" fontId="27" fillId="25" borderId="18" xfId="281" applyFont="1" applyFill="1" applyBorder="1" applyAlignment="1">
      <alignment horizontal="center" vertical="top"/>
    </xf>
    <xf numFmtId="0" fontId="26" fillId="25" borderId="18" xfId="281" applyFont="1" applyFill="1" applyBorder="1" applyAlignment="1">
      <alignment horizontal="left" vertical="top" wrapText="1"/>
    </xf>
    <xf numFmtId="4" fontId="26" fillId="25" borderId="18" xfId="281" applyNumberFormat="1" applyFont="1" applyFill="1" applyBorder="1" applyAlignment="1">
      <alignment horizontal="center" vertical="center" wrapText="1"/>
    </xf>
    <xf numFmtId="4" fontId="27" fillId="25" borderId="18" xfId="281" applyNumberFormat="1" applyFont="1" applyFill="1" applyBorder="1" applyAlignment="1">
      <alignment horizontal="center" vertical="center" wrapText="1"/>
    </xf>
    <xf numFmtId="43" fontId="38" fillId="25" borderId="0" xfId="281" applyNumberFormat="1" applyFont="1" applyFill="1" applyBorder="1" applyAlignment="1">
      <alignment horizontal="center" vertical="top"/>
    </xf>
    <xf numFmtId="43" fontId="38" fillId="25" borderId="18" xfId="281" applyNumberFormat="1" applyFont="1" applyFill="1" applyBorder="1" applyAlignment="1">
      <alignment horizontal="center" vertical="top"/>
    </xf>
    <xf numFmtId="0" fontId="38" fillId="25" borderId="0" xfId="281" applyFont="1" applyFill="1" applyBorder="1" applyAlignment="1">
      <alignment horizontal="center" vertical="top"/>
    </xf>
    <xf numFmtId="49" fontId="27" fillId="25" borderId="0" xfId="281" applyNumberFormat="1" applyFont="1" applyFill="1" applyBorder="1" applyAlignment="1">
      <alignment horizontal="center" wrapText="1"/>
    </xf>
    <xf numFmtId="43" fontId="18" fillId="25" borderId="0" xfId="281" applyNumberFormat="1" applyFont="1" applyFill="1" applyAlignment="1">
      <alignment horizontal="center"/>
    </xf>
    <xf numFmtId="43" fontId="37" fillId="25" borderId="0" xfId="281" applyNumberFormat="1" applyFont="1" applyFill="1" applyAlignment="1">
      <alignment horizontal="center"/>
    </xf>
    <xf numFmtId="0" fontId="37" fillId="25" borderId="0" xfId="281" applyFont="1" applyFill="1" applyAlignment="1">
      <alignment horizontal="center"/>
    </xf>
    <xf numFmtId="0" fontId="27" fillId="25" borderId="0" xfId="281" applyFont="1" applyFill="1" applyBorder="1" applyAlignment="1">
      <alignment horizontal="center" vertical="center" wrapText="1"/>
    </xf>
    <xf numFmtId="0" fontId="27" fillId="25" borderId="0" xfId="281" applyFont="1" applyFill="1" applyBorder="1" applyAlignment="1">
      <alignment vertical="top" wrapText="1"/>
    </xf>
    <xf numFmtId="49" fontId="38" fillId="25" borderId="0" xfId="281" applyNumberFormat="1" applyFont="1" applyFill="1" applyBorder="1" applyAlignment="1">
      <alignment wrapText="1"/>
    </xf>
    <xf numFmtId="0" fontId="37" fillId="25" borderId="0" xfId="281" applyFont="1" applyFill="1" applyAlignment="1">
      <alignment horizontal="center" vertical="center"/>
    </xf>
    <xf numFmtId="0" fontId="37" fillId="25" borderId="0" xfId="281" applyFont="1" applyFill="1" applyAlignment="1">
      <alignment horizontal="left"/>
    </xf>
    <xf numFmtId="0" fontId="37" fillId="25" borderId="0" xfId="281" applyFont="1" applyFill="1" applyAlignment="1">
      <alignment horizontal="right"/>
    </xf>
    <xf numFmtId="0" fontId="37" fillId="25" borderId="0" xfId="281" applyFont="1" applyFill="1"/>
    <xf numFmtId="49" fontId="38" fillId="25" borderId="11" xfId="281" applyNumberFormat="1" applyFont="1" applyFill="1" applyBorder="1" applyAlignment="1">
      <alignment wrapText="1"/>
    </xf>
    <xf numFmtId="43" fontId="45" fillId="28" borderId="11" xfId="0" applyNumberFormat="1" applyFont="1" applyFill="1" applyBorder="1"/>
    <xf numFmtId="0" fontId="45" fillId="25" borderId="11" xfId="0" applyFont="1" applyFill="1" applyBorder="1"/>
    <xf numFmtId="0" fontId="46" fillId="27" borderId="11" xfId="0" applyFont="1" applyFill="1" applyBorder="1" applyAlignment="1"/>
    <xf numFmtId="0" fontId="45" fillId="25" borderId="11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vertical="center" wrapText="1"/>
    </xf>
    <xf numFmtId="4" fontId="45" fillId="25" borderId="11" xfId="0" applyNumberFormat="1" applyFont="1" applyFill="1" applyBorder="1" applyAlignment="1">
      <alignment horizontal="center" vertical="center"/>
    </xf>
    <xf numFmtId="43" fontId="45" fillId="25" borderId="11" xfId="0" applyNumberFormat="1" applyFont="1" applyFill="1" applyBorder="1" applyAlignment="1">
      <alignment horizontal="center" vertical="center"/>
    </xf>
    <xf numFmtId="43" fontId="45" fillId="25" borderId="11" xfId="523" applyNumberFormat="1" applyFont="1" applyFill="1" applyBorder="1" applyAlignment="1">
      <alignment horizontal="center" vertical="center"/>
    </xf>
    <xf numFmtId="168" fontId="45" fillId="25" borderId="11" xfId="523" applyNumberFormat="1" applyFont="1" applyFill="1" applyBorder="1" applyAlignment="1">
      <alignment horizontal="center" vertical="center"/>
    </xf>
    <xf numFmtId="169" fontId="45" fillId="25" borderId="11" xfId="523" applyNumberFormat="1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left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left" wrapText="1"/>
    </xf>
    <xf numFmtId="170" fontId="45" fillId="25" borderId="11" xfId="0" applyNumberFormat="1" applyFont="1" applyFill="1" applyBorder="1" applyAlignment="1">
      <alignment vertical="center" wrapText="1"/>
    </xf>
    <xf numFmtId="2" fontId="45" fillId="25" borderId="11" xfId="0" applyNumberFormat="1" applyFont="1" applyFill="1" applyBorder="1" applyAlignment="1">
      <alignment horizontal="center" vertical="center"/>
    </xf>
    <xf numFmtId="43" fontId="45" fillId="25" borderId="11" xfId="0" applyNumberFormat="1" applyFont="1" applyFill="1" applyBorder="1" applyAlignment="1">
      <alignment horizontal="center" vertical="center" wrapText="1"/>
    </xf>
    <xf numFmtId="0" fontId="46" fillId="25" borderId="11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left" wrapText="1"/>
    </xf>
    <xf numFmtId="4" fontId="46" fillId="25" borderId="11" xfId="0" applyNumberFormat="1" applyFont="1" applyFill="1" applyBorder="1" applyAlignment="1">
      <alignment horizontal="center"/>
    </xf>
    <xf numFmtId="0" fontId="45" fillId="25" borderId="11" xfId="0" applyFont="1" applyFill="1" applyBorder="1" applyAlignment="1">
      <alignment horizontal="center" wrapText="1"/>
    </xf>
    <xf numFmtId="0" fontId="45" fillId="25" borderId="11" xfId="0" applyFont="1" applyFill="1" applyBorder="1" applyAlignment="1">
      <alignment horizontal="left"/>
    </xf>
    <xf numFmtId="0" fontId="46" fillId="27" borderId="11" xfId="0" applyFont="1" applyFill="1" applyBorder="1" applyAlignment="1">
      <alignment horizontal="center" vertical="center"/>
    </xf>
    <xf numFmtId="168" fontId="46" fillId="27" borderId="11" xfId="523" applyNumberFormat="1" applyFont="1" applyFill="1" applyBorder="1" applyAlignment="1">
      <alignment horizontal="center" vertical="center"/>
    </xf>
    <xf numFmtId="168" fontId="45" fillId="25" borderId="11" xfId="0" applyNumberFormat="1" applyFont="1" applyFill="1" applyBorder="1" applyAlignment="1">
      <alignment horizontal="left" vertical="center" wrapText="1"/>
    </xf>
    <xf numFmtId="0" fontId="46" fillId="25" borderId="11" xfId="0" applyFont="1" applyFill="1" applyBorder="1" applyAlignment="1">
      <alignment vertical="center"/>
    </xf>
    <xf numFmtId="168" fontId="45" fillId="25" borderId="11" xfId="0" applyNumberFormat="1" applyFont="1" applyFill="1" applyBorder="1" applyAlignment="1">
      <alignment vertical="center" wrapText="1"/>
    </xf>
    <xf numFmtId="43" fontId="45" fillId="25" borderId="11" xfId="523" applyFont="1" applyFill="1" applyBorder="1" applyAlignment="1">
      <alignment horizontal="center" vertical="center"/>
    </xf>
    <xf numFmtId="43" fontId="45" fillId="25" borderId="11" xfId="0" applyNumberFormat="1" applyFont="1" applyFill="1" applyBorder="1" applyAlignment="1">
      <alignment horizontal="left" vertical="center" wrapText="1"/>
    </xf>
    <xf numFmtId="43" fontId="46" fillId="25" borderId="11" xfId="523" applyNumberFormat="1" applyFont="1" applyFill="1" applyBorder="1" applyAlignment="1">
      <alignment horizontal="center"/>
    </xf>
    <xf numFmtId="168" fontId="46" fillId="25" borderId="11" xfId="0" applyNumberFormat="1" applyFont="1" applyFill="1" applyBorder="1" applyAlignment="1">
      <alignment horizontal="center" vertical="center"/>
    </xf>
    <xf numFmtId="0" fontId="46" fillId="27" borderId="11" xfId="0" applyFont="1" applyFill="1" applyBorder="1" applyAlignment="1">
      <alignment horizontal="center"/>
    </xf>
    <xf numFmtId="168" fontId="46" fillId="27" borderId="11" xfId="523" applyNumberFormat="1" applyFont="1" applyFill="1" applyBorder="1" applyAlignment="1">
      <alignment horizontal="center"/>
    </xf>
    <xf numFmtId="0" fontId="46" fillId="27" borderId="11" xfId="0" applyFont="1" applyFill="1" applyBorder="1" applyAlignment="1">
      <alignment horizontal="left"/>
    </xf>
    <xf numFmtId="43" fontId="45" fillId="25" borderId="11" xfId="0" applyNumberFormat="1" applyFont="1" applyFill="1" applyBorder="1" applyAlignment="1">
      <alignment vertical="center" wrapText="1"/>
    </xf>
    <xf numFmtId="0" fontId="45" fillId="29" borderId="11" xfId="0" applyFont="1" applyFill="1" applyBorder="1" applyAlignment="1">
      <alignment horizontal="center" vertical="center"/>
    </xf>
    <xf numFmtId="0" fontId="45" fillId="29" borderId="11" xfId="0" applyFont="1" applyFill="1" applyBorder="1" applyAlignment="1">
      <alignment horizontal="left" vertical="center" wrapText="1"/>
    </xf>
    <xf numFmtId="43" fontId="45" fillId="29" borderId="11" xfId="523" applyFont="1" applyFill="1" applyBorder="1" applyAlignment="1">
      <alignment horizontal="center" vertical="center"/>
    </xf>
    <xf numFmtId="43" fontId="45" fillId="29" borderId="11" xfId="0" applyNumberFormat="1" applyFont="1" applyFill="1" applyBorder="1" applyAlignment="1">
      <alignment vertical="center" wrapText="1"/>
    </xf>
    <xf numFmtId="43" fontId="45" fillId="25" borderId="11" xfId="523" applyFont="1" applyFill="1" applyBorder="1" applyAlignment="1">
      <alignment vertical="center"/>
    </xf>
    <xf numFmtId="43" fontId="46" fillId="25" borderId="11" xfId="523" applyFont="1" applyFill="1" applyBorder="1" applyAlignment="1">
      <alignment horizontal="center"/>
    </xf>
    <xf numFmtId="0" fontId="45" fillId="27" borderId="11" xfId="0" applyFont="1" applyFill="1" applyBorder="1" applyAlignment="1">
      <alignment horizontal="center"/>
    </xf>
    <xf numFmtId="168" fontId="46" fillId="27" borderId="11" xfId="0" applyNumberFormat="1" applyFont="1" applyFill="1" applyBorder="1" applyAlignment="1">
      <alignment horizontal="center"/>
    </xf>
    <xf numFmtId="0" fontId="45" fillId="27" borderId="11" xfId="0" applyFont="1" applyFill="1" applyBorder="1" applyAlignment="1">
      <alignment horizontal="center" wrapText="1"/>
    </xf>
    <xf numFmtId="168" fontId="45" fillId="25" borderId="11" xfId="0" applyNumberFormat="1" applyFont="1" applyFill="1" applyBorder="1" applyAlignment="1">
      <alignment horizontal="center" vertical="center"/>
    </xf>
    <xf numFmtId="168" fontId="45" fillId="25" borderId="11" xfId="0" applyNumberFormat="1" applyFont="1" applyFill="1" applyBorder="1" applyAlignment="1">
      <alignment vertical="center"/>
    </xf>
    <xf numFmtId="2" fontId="46" fillId="25" borderId="11" xfId="0" applyNumberFormat="1" applyFont="1" applyFill="1" applyBorder="1" applyAlignment="1">
      <alignment horizontal="center"/>
    </xf>
    <xf numFmtId="168" fontId="46" fillId="27" borderId="11" xfId="523" applyNumberFormat="1" applyFont="1" applyFill="1" applyBorder="1" applyAlignment="1"/>
    <xf numFmtId="0" fontId="45" fillId="29" borderId="11" xfId="0" applyFont="1" applyFill="1" applyBorder="1" applyAlignment="1">
      <alignment vertical="center" wrapText="1"/>
    </xf>
    <xf numFmtId="4" fontId="45" fillId="29" borderId="11" xfId="0" applyNumberFormat="1" applyFont="1" applyFill="1" applyBorder="1" applyAlignment="1">
      <alignment horizontal="center" vertical="center"/>
    </xf>
    <xf numFmtId="43" fontId="45" fillId="29" borderId="11" xfId="0" applyNumberFormat="1" applyFont="1" applyFill="1" applyBorder="1" applyAlignment="1">
      <alignment horizontal="center" vertical="center"/>
    </xf>
    <xf numFmtId="168" fontId="45" fillId="29" borderId="11" xfId="523" applyNumberFormat="1" applyFont="1" applyFill="1" applyBorder="1" applyAlignment="1">
      <alignment horizontal="center" vertical="center"/>
    </xf>
    <xf numFmtId="43" fontId="45" fillId="29" borderId="11" xfId="523" applyNumberFormat="1" applyFont="1" applyFill="1" applyBorder="1" applyAlignment="1">
      <alignment horizontal="center" vertical="center"/>
    </xf>
    <xf numFmtId="43" fontId="45" fillId="29" borderId="11" xfId="0" applyNumberFormat="1" applyFont="1" applyFill="1" applyBorder="1" applyAlignment="1">
      <alignment horizontal="left" vertical="center" wrapText="1"/>
    </xf>
    <xf numFmtId="2" fontId="45" fillId="29" borderId="11" xfId="0" applyNumberFormat="1" applyFont="1" applyFill="1" applyBorder="1" applyAlignment="1">
      <alignment horizontal="center" vertical="center"/>
    </xf>
    <xf numFmtId="43" fontId="46" fillId="27" borderId="11" xfId="523" applyFont="1" applyFill="1" applyBorder="1" applyAlignment="1">
      <alignment horizontal="center"/>
    </xf>
    <xf numFmtId="170" fontId="45" fillId="25" borderId="11" xfId="0" applyNumberFormat="1" applyFont="1" applyFill="1" applyBorder="1" applyAlignment="1">
      <alignment horizontal="left" vertical="center" wrapText="1"/>
    </xf>
    <xf numFmtId="4" fontId="46" fillId="27" borderId="11" xfId="0" applyNumberFormat="1" applyFont="1" applyFill="1" applyBorder="1" applyAlignment="1">
      <alignment horizontal="center"/>
    </xf>
    <xf numFmtId="4" fontId="45" fillId="25" borderId="11" xfId="0" applyNumberFormat="1" applyFont="1" applyFill="1" applyBorder="1" applyAlignment="1">
      <alignment horizontal="center"/>
    </xf>
    <xf numFmtId="4" fontId="45" fillId="25" borderId="11" xfId="0" applyNumberFormat="1" applyFont="1" applyFill="1" applyBorder="1"/>
    <xf numFmtId="4" fontId="45" fillId="25" borderId="11" xfId="0" applyNumberFormat="1" applyFont="1" applyFill="1" applyBorder="1" applyAlignment="1">
      <alignment horizontal="center" vertical="center" wrapText="1"/>
    </xf>
    <xf numFmtId="2" fontId="45" fillId="25" borderId="11" xfId="0" applyNumberFormat="1" applyFont="1" applyFill="1" applyBorder="1" applyAlignment="1">
      <alignment horizontal="center" vertical="center" wrapText="1"/>
    </xf>
    <xf numFmtId="168" fontId="45" fillId="25" borderId="11" xfId="523" applyNumberFormat="1" applyFont="1" applyFill="1" applyBorder="1" applyAlignment="1">
      <alignment horizontal="center" vertical="center" wrapText="1"/>
    </xf>
    <xf numFmtId="43" fontId="45" fillId="25" borderId="11" xfId="523" applyFont="1" applyFill="1" applyBorder="1" applyAlignment="1">
      <alignment horizontal="center" vertical="center" wrapText="1"/>
    </xf>
    <xf numFmtId="2" fontId="45" fillId="29" borderId="11" xfId="0" applyNumberFormat="1" applyFont="1" applyFill="1" applyBorder="1" applyAlignment="1">
      <alignment horizontal="center" vertical="center" wrapText="1"/>
    </xf>
    <xf numFmtId="0" fontId="46" fillId="25" borderId="11" xfId="0" applyFont="1" applyFill="1" applyBorder="1" applyAlignment="1">
      <alignment wrapText="1"/>
    </xf>
    <xf numFmtId="43" fontId="46" fillId="25" borderId="11" xfId="0" applyNumberFormat="1" applyFont="1" applyFill="1" applyBorder="1"/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3" fontId="45" fillId="25" borderId="11" xfId="0" applyNumberFormat="1" applyFont="1" applyFill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4" fontId="27" fillId="25" borderId="11" xfId="281" applyNumberFormat="1" applyFont="1" applyFill="1" applyBorder="1" applyAlignment="1">
      <alignment horizontal="center"/>
    </xf>
    <xf numFmtId="4" fontId="34" fillId="25" borderId="13" xfId="523" applyNumberFormat="1" applyFont="1" applyFill="1" applyBorder="1" applyAlignment="1">
      <alignment horizontal="center" vertical="center"/>
    </xf>
    <xf numFmtId="4" fontId="27" fillId="25" borderId="11" xfId="280" applyNumberFormat="1" applyFont="1" applyFill="1" applyBorder="1" applyAlignment="1">
      <alignment horizontal="center" wrapText="1"/>
    </xf>
    <xf numFmtId="43" fontId="27" fillId="25" borderId="11" xfId="523" applyFont="1" applyFill="1" applyBorder="1" applyAlignment="1">
      <alignment horizontal="center" wrapText="1"/>
    </xf>
    <xf numFmtId="43" fontId="27" fillId="25" borderId="13" xfId="523" applyFont="1" applyFill="1" applyBorder="1" applyAlignment="1">
      <alignment horizontal="center"/>
    </xf>
    <xf numFmtId="43" fontId="27" fillId="25" borderId="11" xfId="280" applyNumberFormat="1" applyFont="1" applyFill="1" applyBorder="1" applyAlignment="1">
      <alignment horizontal="center"/>
    </xf>
    <xf numFmtId="49" fontId="27" fillId="25" borderId="11" xfId="280" applyNumberFormat="1" applyFont="1" applyFill="1" applyBorder="1" applyAlignment="1">
      <alignment horizontal="center" wrapText="1"/>
    </xf>
    <xf numFmtId="49" fontId="38" fillId="25" borderId="11" xfId="280" applyNumberFormat="1" applyFont="1" applyFill="1" applyBorder="1" applyAlignment="1">
      <alignment horizontal="center" wrapText="1"/>
    </xf>
    <xf numFmtId="4" fontId="27" fillId="25" borderId="12" xfId="280" applyNumberFormat="1" applyFont="1" applyFill="1" applyBorder="1" applyAlignment="1">
      <alignment horizontal="center" vertical="top"/>
    </xf>
    <xf numFmtId="43" fontId="27" fillId="25" borderId="11" xfId="523" applyFont="1" applyFill="1" applyBorder="1" applyAlignment="1">
      <alignment horizontal="center" vertical="center"/>
    </xf>
    <xf numFmtId="4" fontId="27" fillId="25" borderId="11" xfId="281" applyNumberFormat="1" applyFont="1" applyFill="1" applyBorder="1" applyAlignment="1">
      <alignment vertical="top"/>
    </xf>
    <xf numFmtId="43" fontId="27" fillId="25" borderId="11" xfId="523" applyFont="1" applyFill="1" applyBorder="1" applyAlignment="1">
      <alignment vertical="top"/>
    </xf>
    <xf numFmtId="4" fontId="27" fillId="25" borderId="11" xfId="280" applyNumberFormat="1" applyFont="1" applyFill="1" applyBorder="1" applyAlignment="1">
      <alignment vertical="top"/>
    </xf>
    <xf numFmtId="49" fontId="27" fillId="25" borderId="11" xfId="280" applyNumberFormat="1" applyFont="1" applyFill="1" applyBorder="1" applyAlignment="1">
      <alignment horizontal="center" wrapText="1"/>
    </xf>
    <xf numFmtId="43" fontId="34" fillId="25" borderId="13" xfId="523" applyFont="1" applyFill="1" applyBorder="1" applyAlignment="1">
      <alignment horizontal="center"/>
    </xf>
    <xf numFmtId="4" fontId="27" fillId="25" borderId="11" xfId="280" applyNumberFormat="1" applyFont="1" applyFill="1" applyBorder="1" applyAlignment="1">
      <alignment horizontal="right" vertical="top"/>
    </xf>
    <xf numFmtId="0" fontId="36" fillId="25" borderId="11" xfId="280" applyFont="1" applyFill="1" applyBorder="1" applyAlignment="1">
      <alignment horizontal="center" vertical="center"/>
    </xf>
    <xf numFmtId="0" fontId="36" fillId="25" borderId="11" xfId="281" applyFont="1" applyFill="1" applyBorder="1" applyAlignment="1">
      <alignment horizontal="center" vertical="center"/>
    </xf>
    <xf numFmtId="43" fontId="36" fillId="25" borderId="11" xfId="523" applyFont="1" applyFill="1" applyBorder="1" applyAlignment="1">
      <alignment horizontal="center" vertical="top"/>
    </xf>
    <xf numFmtId="43" fontId="36" fillId="25" borderId="11" xfId="281" applyNumberFormat="1" applyFont="1" applyFill="1" applyBorder="1" applyAlignment="1">
      <alignment horizontal="center" vertical="top"/>
    </xf>
    <xf numFmtId="166" fontId="36" fillId="25" borderId="11" xfId="523" applyNumberFormat="1" applyFont="1" applyFill="1" applyBorder="1" applyAlignment="1">
      <alignment horizontal="center" vertical="center"/>
    </xf>
    <xf numFmtId="43" fontId="36" fillId="25" borderId="11" xfId="281" applyNumberFormat="1" applyFont="1" applyFill="1" applyBorder="1" applyAlignment="1">
      <alignment horizontal="center" vertical="center"/>
    </xf>
    <xf numFmtId="0" fontId="38" fillId="25" borderId="11" xfId="280" applyFont="1" applyFill="1" applyBorder="1" applyAlignment="1">
      <alignment horizontal="center" vertical="top"/>
    </xf>
    <xf numFmtId="0" fontId="37" fillId="26" borderId="11" xfId="280" applyFont="1" applyFill="1" applyBorder="1" applyAlignment="1">
      <alignment horizontal="left"/>
    </xf>
    <xf numFmtId="0" fontId="37" fillId="29" borderId="11" xfId="280" applyFont="1" applyFill="1" applyBorder="1" applyAlignment="1">
      <alignment horizontal="left"/>
    </xf>
    <xf numFmtId="0" fontId="37" fillId="30" borderId="11" xfId="280" applyFont="1" applyFill="1" applyBorder="1" applyAlignment="1">
      <alignment horizontal="left"/>
    </xf>
    <xf numFmtId="49" fontId="38" fillId="25" borderId="11" xfId="280" applyNumberFormat="1" applyFont="1" applyFill="1" applyBorder="1" applyAlignment="1">
      <alignment horizontal="center" wrapText="1"/>
    </xf>
    <xf numFmtId="4" fontId="37" fillId="25" borderId="0" xfId="280" applyNumberFormat="1" applyFont="1" applyFill="1" applyAlignment="1">
      <alignment horizontal="center"/>
    </xf>
    <xf numFmtId="43" fontId="37" fillId="25" borderId="0" xfId="280" applyNumberFormat="1" applyFont="1" applyFill="1" applyAlignment="1">
      <alignment horizontal="center"/>
    </xf>
    <xf numFmtId="0" fontId="38" fillId="25" borderId="0" xfId="280" applyFont="1" applyFill="1" applyAlignment="1">
      <alignment horizontal="center" vertical="center"/>
    </xf>
    <xf numFmtId="0" fontId="27" fillId="25" borderId="11" xfId="281" applyFont="1" applyFill="1" applyBorder="1" applyAlignment="1">
      <alignment horizontal="center" vertical="top"/>
    </xf>
    <xf numFmtId="49" fontId="38" fillId="25" borderId="11" xfId="280" applyNumberFormat="1" applyFont="1" applyFill="1" applyBorder="1" applyAlignment="1">
      <alignment horizontal="center" wrapText="1"/>
    </xf>
    <xf numFmtId="0" fontId="27" fillId="25" borderId="11" xfId="281" applyFont="1" applyFill="1" applyBorder="1" applyAlignment="1">
      <alignment horizontal="left" vertical="top"/>
    </xf>
    <xf numFmtId="43" fontId="27" fillId="25" borderId="11" xfId="523" applyFont="1" applyFill="1" applyBorder="1" applyAlignment="1">
      <alignment horizontal="right" vertical="top" wrapText="1"/>
    </xf>
    <xf numFmtId="43" fontId="27" fillId="25" borderId="11" xfId="523" applyFont="1" applyFill="1" applyBorder="1" applyAlignment="1">
      <alignment horizontal="right" vertical="top"/>
    </xf>
    <xf numFmtId="0" fontId="36" fillId="25" borderId="11" xfId="281" applyFont="1" applyFill="1" applyBorder="1" applyAlignment="1">
      <alignment horizontal="right" vertical="center"/>
    </xf>
    <xf numFmtId="0" fontId="36" fillId="25" borderId="11" xfId="280" applyFont="1" applyFill="1" applyBorder="1" applyAlignment="1">
      <alignment horizontal="center" vertical="top"/>
    </xf>
    <xf numFmtId="43" fontId="38" fillId="25" borderId="11" xfId="280" applyNumberFormat="1" applyFont="1" applyFill="1" applyBorder="1" applyAlignment="1">
      <alignment horizontal="center" vertical="top"/>
    </xf>
    <xf numFmtId="43" fontId="38" fillId="25" borderId="11" xfId="523" applyFont="1" applyFill="1" applyBorder="1" applyAlignment="1">
      <alignment horizontal="center" vertical="top"/>
    </xf>
    <xf numFmtId="43" fontId="36" fillId="25" borderId="11" xfId="523" applyFont="1" applyFill="1" applyBorder="1" applyAlignment="1">
      <alignment horizontal="center" vertical="center"/>
    </xf>
    <xf numFmtId="0" fontId="38" fillId="25" borderId="11" xfId="280" applyFont="1" applyFill="1" applyBorder="1" applyAlignment="1">
      <alignment horizontal="center" vertical="center"/>
    </xf>
    <xf numFmtId="49" fontId="38" fillId="25" borderId="11" xfId="280" applyNumberFormat="1" applyFont="1" applyFill="1" applyBorder="1" applyAlignment="1">
      <alignment horizontal="center" wrapText="1"/>
    </xf>
    <xf numFmtId="43" fontId="38" fillId="25" borderId="0" xfId="280" applyNumberFormat="1" applyFont="1" applyFill="1" applyBorder="1" applyAlignment="1">
      <alignment horizontal="center" vertical="top"/>
    </xf>
    <xf numFmtId="43" fontId="38" fillId="25" borderId="18" xfId="280" applyNumberFormat="1" applyFont="1" applyFill="1" applyBorder="1" applyAlignment="1">
      <alignment horizontal="center" vertical="top"/>
    </xf>
    <xf numFmtId="0" fontId="38" fillId="25" borderId="0" xfId="280" applyFont="1" applyFill="1" applyBorder="1" applyAlignment="1">
      <alignment horizontal="center" vertical="top"/>
    </xf>
    <xf numFmtId="49" fontId="38" fillId="25" borderId="0" xfId="280" applyNumberFormat="1" applyFont="1" applyFill="1" applyBorder="1" applyAlignment="1">
      <alignment horizontal="center" wrapText="1"/>
    </xf>
    <xf numFmtId="49" fontId="38" fillId="25" borderId="0" xfId="280" applyNumberFormat="1" applyFont="1" applyFill="1" applyBorder="1" applyAlignment="1">
      <alignment wrapText="1"/>
    </xf>
    <xf numFmtId="0" fontId="37" fillId="31" borderId="11" xfId="280" applyFont="1" applyFill="1" applyBorder="1" applyAlignment="1">
      <alignment horizontal="left"/>
    </xf>
    <xf numFmtId="0" fontId="27" fillId="25" borderId="13" xfId="281" applyFont="1" applyFill="1" applyBorder="1" applyAlignment="1">
      <alignment horizontal="center" vertical="center"/>
    </xf>
    <xf numFmtId="0" fontId="27" fillId="25" borderId="11" xfId="281" applyFont="1" applyFill="1" applyBorder="1" applyAlignment="1">
      <alignment horizontal="center" vertical="center"/>
    </xf>
    <xf numFmtId="0" fontId="27" fillId="25" borderId="11" xfId="280" applyFont="1" applyFill="1" applyBorder="1" applyAlignment="1">
      <alignment horizontal="center" vertical="center" wrapText="1"/>
    </xf>
    <xf numFmtId="0" fontId="27" fillId="25" borderId="11" xfId="280" applyFont="1" applyFill="1" applyBorder="1" applyAlignment="1">
      <alignment horizontal="left" vertical="center"/>
    </xf>
    <xf numFmtId="0" fontId="27" fillId="25" borderId="13" xfId="280" applyFont="1" applyFill="1" applyBorder="1" applyAlignment="1">
      <alignment horizontal="center" vertical="center"/>
    </xf>
    <xf numFmtId="0" fontId="27" fillId="25" borderId="11" xfId="280" applyFont="1" applyFill="1" applyBorder="1" applyAlignment="1">
      <alignment horizontal="center" vertical="center"/>
    </xf>
    <xf numFmtId="4" fontId="27" fillId="25" borderId="12" xfId="280" applyNumberFormat="1" applyFont="1" applyFill="1" applyBorder="1" applyAlignment="1">
      <alignment vertical="center"/>
    </xf>
    <xf numFmtId="4" fontId="27" fillId="25" borderId="14" xfId="280" applyNumberFormat="1" applyFont="1" applyFill="1" applyBorder="1" applyAlignment="1">
      <alignment horizontal="right" vertical="center"/>
    </xf>
    <xf numFmtId="17" fontId="27" fillId="25" borderId="11" xfId="280" applyNumberFormat="1" applyFont="1" applyFill="1" applyBorder="1" applyAlignment="1">
      <alignment horizontal="center" vertical="center"/>
    </xf>
    <xf numFmtId="0" fontId="27" fillId="25" borderId="11" xfId="280" applyFont="1" applyFill="1" applyBorder="1" applyAlignment="1">
      <alignment horizontal="left" vertical="top"/>
    </xf>
    <xf numFmtId="4" fontId="27" fillId="25" borderId="12" xfId="280" applyNumberFormat="1" applyFont="1" applyFill="1" applyBorder="1" applyAlignment="1">
      <alignment vertical="top"/>
    </xf>
    <xf numFmtId="4" fontId="27" fillId="25" borderId="14" xfId="280" applyNumberFormat="1" applyFont="1" applyFill="1" applyBorder="1" applyAlignment="1">
      <alignment horizontal="right" vertical="top"/>
    </xf>
    <xf numFmtId="4" fontId="27" fillId="25" borderId="24" xfId="280" applyNumberFormat="1" applyFont="1" applyFill="1" applyBorder="1" applyAlignment="1">
      <alignment horizontal="right" vertical="top"/>
    </xf>
    <xf numFmtId="4" fontId="27" fillId="25" borderId="13" xfId="280" applyNumberFormat="1" applyFont="1" applyFill="1" applyBorder="1" applyAlignment="1">
      <alignment horizontal="center"/>
    </xf>
    <xf numFmtId="2" fontId="27" fillId="25" borderId="11" xfId="280" applyNumberFormat="1" applyFont="1" applyFill="1" applyBorder="1" applyAlignment="1">
      <alignment horizontal="center" vertical="center"/>
    </xf>
    <xf numFmtId="2" fontId="34" fillId="25" borderId="11" xfId="280" applyNumberFormat="1" applyFont="1" applyFill="1" applyBorder="1" applyAlignment="1">
      <alignment horizontal="center" vertical="center"/>
    </xf>
    <xf numFmtId="2" fontId="27" fillId="25" borderId="13" xfId="280" applyNumberFormat="1" applyFont="1" applyFill="1" applyBorder="1" applyAlignment="1">
      <alignment horizontal="center" vertical="center"/>
    </xf>
    <xf numFmtId="4" fontId="27" fillId="25" borderId="14" xfId="280" applyNumberFormat="1" applyFont="1" applyFill="1" applyBorder="1" applyAlignment="1">
      <alignment horizontal="center" vertical="center"/>
    </xf>
    <xf numFmtId="17" fontId="27" fillId="25" borderId="11" xfId="280" applyNumberFormat="1" applyFont="1" applyFill="1" applyBorder="1" applyAlignment="1">
      <alignment horizontal="center" vertical="top"/>
    </xf>
    <xf numFmtId="2" fontId="34" fillId="25" borderId="13" xfId="280" applyNumberFormat="1" applyFont="1" applyFill="1" applyBorder="1" applyAlignment="1">
      <alignment horizontal="center" vertical="center"/>
    </xf>
    <xf numFmtId="4" fontId="34" fillId="25" borderId="13" xfId="280" applyNumberFormat="1" applyFont="1" applyFill="1" applyBorder="1" applyAlignment="1">
      <alignment vertical="center"/>
    </xf>
    <xf numFmtId="4" fontId="34" fillId="25" borderId="13" xfId="280" applyNumberFormat="1" applyFont="1" applyFill="1" applyBorder="1" applyAlignment="1">
      <alignment horizontal="center"/>
    </xf>
    <xf numFmtId="2" fontId="34" fillId="25" borderId="13" xfId="523" applyNumberFormat="1" applyFont="1" applyFill="1" applyBorder="1" applyAlignment="1">
      <alignment horizontal="center" vertical="center"/>
    </xf>
    <xf numFmtId="4" fontId="27" fillId="25" borderId="13" xfId="281" applyNumberFormat="1" applyFont="1" applyFill="1" applyBorder="1" applyAlignment="1">
      <alignment horizontal="center" vertical="center"/>
    </xf>
    <xf numFmtId="4" fontId="27" fillId="25" borderId="14" xfId="281" applyNumberFormat="1" applyFont="1" applyFill="1" applyBorder="1" applyAlignment="1">
      <alignment horizontal="right" vertical="top"/>
    </xf>
    <xf numFmtId="17" fontId="27" fillId="25" borderId="11" xfId="281" applyNumberFormat="1" applyFont="1" applyFill="1" applyBorder="1" applyAlignment="1">
      <alignment horizontal="center" vertical="top"/>
    </xf>
    <xf numFmtId="0" fontId="34" fillId="25" borderId="13" xfId="281" applyFont="1" applyFill="1" applyBorder="1" applyAlignment="1">
      <alignment horizontal="center" vertical="center"/>
    </xf>
    <xf numFmtId="4" fontId="34" fillId="25" borderId="13" xfId="281" applyNumberFormat="1" applyFont="1" applyFill="1" applyBorder="1" applyAlignment="1">
      <alignment horizontal="center" vertical="center"/>
    </xf>
    <xf numFmtId="0" fontId="34" fillId="25" borderId="13" xfId="281" applyFont="1" applyFill="1" applyBorder="1" applyAlignment="1">
      <alignment vertical="center"/>
    </xf>
    <xf numFmtId="4" fontId="34" fillId="25" borderId="13" xfId="281" applyNumberFormat="1" applyFont="1" applyFill="1" applyBorder="1" applyAlignment="1">
      <alignment horizontal="center"/>
    </xf>
    <xf numFmtId="0" fontId="34" fillId="25" borderId="13" xfId="281" applyFont="1" applyFill="1" applyBorder="1" applyAlignment="1">
      <alignment horizontal="center"/>
    </xf>
    <xf numFmtId="2" fontId="27" fillId="25" borderId="11" xfId="281" applyNumberFormat="1" applyFont="1" applyFill="1" applyBorder="1" applyAlignment="1">
      <alignment horizontal="center" vertical="center"/>
    </xf>
    <xf numFmtId="2" fontId="27" fillId="25" borderId="13" xfId="281" applyNumberFormat="1" applyFont="1" applyFill="1" applyBorder="1" applyAlignment="1">
      <alignment horizontal="center" vertical="center"/>
    </xf>
    <xf numFmtId="4" fontId="27" fillId="25" borderId="11" xfId="280" applyNumberFormat="1" applyFont="1" applyFill="1" applyBorder="1" applyAlignment="1">
      <alignment horizontal="center" vertical="top"/>
    </xf>
    <xf numFmtId="43" fontId="27" fillId="25" borderId="11" xfId="523" applyFont="1" applyFill="1" applyBorder="1" applyAlignment="1">
      <alignment horizontal="right" vertical="center"/>
    </xf>
    <xf numFmtId="43" fontId="27" fillId="25" borderId="11" xfId="280" applyNumberFormat="1" applyFont="1" applyFill="1" applyBorder="1" applyAlignment="1">
      <alignment horizontal="center" vertical="center"/>
    </xf>
    <xf numFmtId="43" fontId="26" fillId="25" borderId="11" xfId="523" applyFont="1" applyFill="1" applyBorder="1" applyAlignment="1">
      <alignment horizontal="center"/>
    </xf>
    <xf numFmtId="4" fontId="27" fillId="25" borderId="11" xfId="280" applyNumberFormat="1" applyFont="1" applyFill="1" applyBorder="1" applyAlignment="1">
      <alignment horizontal="right" vertical="top" wrapText="1"/>
    </xf>
    <xf numFmtId="4" fontId="27" fillId="25" borderId="14" xfId="280" applyNumberFormat="1" applyFont="1" applyFill="1" applyBorder="1" applyAlignment="1">
      <alignment horizontal="right" vertical="top" indent="2"/>
    </xf>
    <xf numFmtId="4" fontId="27" fillId="25" borderId="13" xfId="280" applyNumberFormat="1" applyFont="1" applyFill="1" applyBorder="1" applyAlignment="1">
      <alignment horizontal="right" vertical="center"/>
    </xf>
    <xf numFmtId="43" fontId="26" fillId="25" borderId="11" xfId="523" applyFont="1" applyFill="1" applyBorder="1" applyAlignment="1">
      <alignment horizontal="center" vertical="center"/>
    </xf>
    <xf numFmtId="43" fontId="27" fillId="25" borderId="11" xfId="523" applyFont="1" applyFill="1" applyBorder="1" applyAlignment="1">
      <alignment vertical="center"/>
    </xf>
    <xf numFmtId="4" fontId="34" fillId="25" borderId="12" xfId="280" applyNumberFormat="1" applyFont="1" applyFill="1" applyBorder="1" applyAlignment="1">
      <alignment vertical="top"/>
    </xf>
    <xf numFmtId="4" fontId="34" fillId="25" borderId="14" xfId="280" applyNumberFormat="1" applyFont="1" applyFill="1" applyBorder="1" applyAlignment="1">
      <alignment vertical="top"/>
    </xf>
    <xf numFmtId="4" fontId="34" fillId="25" borderId="11" xfId="280" applyNumberFormat="1" applyFont="1" applyFill="1" applyBorder="1" applyAlignment="1">
      <alignment horizontal="center"/>
    </xf>
    <xf numFmtId="4" fontId="27" fillId="25" borderId="14" xfId="280" applyNumberFormat="1" applyFont="1" applyFill="1" applyBorder="1" applyAlignment="1">
      <alignment vertical="top"/>
    </xf>
    <xf numFmtId="4" fontId="27" fillId="25" borderId="11" xfId="280" applyNumberFormat="1" applyFont="1" applyFill="1" applyBorder="1" applyAlignment="1">
      <alignment horizontal="right" vertical="top" indent="2"/>
    </xf>
    <xf numFmtId="0" fontId="27" fillId="25" borderId="11" xfId="280" applyFont="1" applyFill="1" applyBorder="1" applyAlignment="1">
      <alignment horizontal="center"/>
    </xf>
    <xf numFmtId="43" fontId="27" fillId="25" borderId="13" xfId="523" applyFont="1" applyFill="1" applyBorder="1" applyAlignment="1">
      <alignment horizontal="right" vertical="center"/>
    </xf>
    <xf numFmtId="0" fontId="27" fillId="25" borderId="12" xfId="280" applyFont="1" applyFill="1" applyBorder="1" applyAlignment="1">
      <alignment horizontal="left" vertical="top"/>
    </xf>
    <xf numFmtId="43" fontId="27" fillId="25" borderId="12" xfId="280" applyNumberFormat="1" applyFont="1" applyFill="1" applyBorder="1" applyAlignment="1">
      <alignment horizontal="center" vertical="center"/>
    </xf>
    <xf numFmtId="4" fontId="27" fillId="25" borderId="12" xfId="280" applyNumberFormat="1" applyFont="1" applyFill="1" applyBorder="1" applyAlignment="1">
      <alignment horizontal="center"/>
    </xf>
    <xf numFmtId="0" fontId="27" fillId="25" borderId="12" xfId="280" applyFont="1" applyFill="1" applyBorder="1" applyAlignment="1">
      <alignment horizontal="center" vertical="top"/>
    </xf>
    <xf numFmtId="0" fontId="18" fillId="25" borderId="11" xfId="280" applyFont="1" applyFill="1" applyBorder="1" applyAlignment="1">
      <alignment horizontal="center"/>
    </xf>
    <xf numFmtId="4" fontId="27" fillId="25" borderId="13" xfId="280" applyNumberFormat="1" applyFont="1" applyFill="1" applyBorder="1" applyAlignment="1">
      <alignment horizontal="right" vertical="top"/>
    </xf>
    <xf numFmtId="4" fontId="27" fillId="25" borderId="12" xfId="280" applyNumberFormat="1" applyFont="1" applyFill="1" applyBorder="1" applyAlignment="1">
      <alignment horizontal="right" vertical="top"/>
    </xf>
    <xf numFmtId="166" fontId="27" fillId="25" borderId="13" xfId="523" applyNumberFormat="1" applyFont="1" applyFill="1" applyBorder="1" applyAlignment="1">
      <alignment horizontal="right" vertical="center"/>
    </xf>
    <xf numFmtId="43" fontId="27" fillId="25" borderId="11" xfId="280" applyNumberFormat="1" applyFont="1" applyFill="1" applyBorder="1" applyAlignment="1">
      <alignment horizontal="center" vertical="top"/>
    </xf>
    <xf numFmtId="0" fontId="27" fillId="25" borderId="11" xfId="280" applyFont="1" applyFill="1" applyBorder="1" applyAlignment="1">
      <alignment horizontal="right" vertical="top" indent="2"/>
    </xf>
    <xf numFmtId="0" fontId="27" fillId="25" borderId="11" xfId="280" applyFont="1" applyFill="1" applyBorder="1" applyAlignment="1">
      <alignment horizontal="left" vertical="top" indent="2"/>
    </xf>
    <xf numFmtId="0" fontId="26" fillId="25" borderId="11" xfId="280" applyFont="1" applyFill="1" applyBorder="1" applyAlignment="1">
      <alignment horizontal="left" vertical="top"/>
    </xf>
    <xf numFmtId="4" fontId="26" fillId="25" borderId="11" xfId="280" applyNumberFormat="1" applyFont="1" applyFill="1" applyBorder="1" applyAlignment="1">
      <alignment horizontal="center" vertical="center"/>
    </xf>
    <xf numFmtId="0" fontId="26" fillId="25" borderId="11" xfId="280" applyFont="1" applyFill="1" applyBorder="1" applyAlignment="1">
      <alignment horizontal="left" vertical="center" wrapText="1"/>
    </xf>
    <xf numFmtId="165" fontId="41" fillId="25" borderId="0" xfId="524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wrapText="1"/>
    </xf>
    <xf numFmtId="0" fontId="27" fillId="25" borderId="11" xfId="281" applyFont="1" applyFill="1" applyBorder="1" applyAlignment="1">
      <alignment horizontal="center" vertical="center" wrapText="1"/>
    </xf>
    <xf numFmtId="0" fontId="27" fillId="25" borderId="11" xfId="281" applyFont="1" applyFill="1" applyBorder="1" applyAlignment="1">
      <alignment horizontal="left" vertical="center"/>
    </xf>
    <xf numFmtId="0" fontId="27" fillId="25" borderId="13" xfId="281" applyFont="1" applyFill="1" applyBorder="1" applyAlignment="1">
      <alignment horizontal="center" vertical="center"/>
    </xf>
    <xf numFmtId="0" fontId="27" fillId="25" borderId="24" xfId="281" applyFont="1" applyFill="1" applyBorder="1" applyAlignment="1">
      <alignment horizontal="center" vertical="center"/>
    </xf>
    <xf numFmtId="0" fontId="27" fillId="25" borderId="14" xfId="281" applyFont="1" applyFill="1" applyBorder="1" applyAlignment="1">
      <alignment horizontal="center" vertical="center"/>
    </xf>
    <xf numFmtId="0" fontId="27" fillId="25" borderId="11" xfId="281" applyFont="1" applyFill="1" applyBorder="1" applyAlignment="1">
      <alignment horizontal="center" vertical="center"/>
    </xf>
    <xf numFmtId="49" fontId="29" fillId="25" borderId="11" xfId="281" applyNumberFormat="1" applyFont="1" applyFill="1" applyBorder="1" applyAlignment="1">
      <alignment horizontal="center" vertical="center" wrapText="1"/>
    </xf>
    <xf numFmtId="0" fontId="27" fillId="25" borderId="11" xfId="281" applyNumberFormat="1" applyFont="1" applyFill="1" applyBorder="1" applyAlignment="1">
      <alignment horizontal="center" vertical="center" wrapText="1"/>
    </xf>
    <xf numFmtId="0" fontId="27" fillId="25" borderId="11" xfId="281" applyNumberFormat="1" applyFont="1" applyFill="1" applyBorder="1" applyAlignment="1">
      <alignment horizontal="center" vertical="center"/>
    </xf>
    <xf numFmtId="0" fontId="27" fillId="25" borderId="21" xfId="281" applyNumberFormat="1" applyFont="1" applyFill="1" applyBorder="1" applyAlignment="1">
      <alignment horizontal="center" vertical="center"/>
    </xf>
    <xf numFmtId="0" fontId="27" fillId="25" borderId="20" xfId="281" applyNumberFormat="1" applyFont="1" applyFill="1" applyBorder="1" applyAlignment="1">
      <alignment horizontal="center" vertical="center"/>
    </xf>
    <xf numFmtId="0" fontId="27" fillId="0" borderId="11" xfId="281" applyFont="1" applyFill="1" applyBorder="1" applyAlignment="1">
      <alignment horizontal="center" vertical="center"/>
    </xf>
    <xf numFmtId="0" fontId="27" fillId="0" borderId="11" xfId="281" applyFont="1" applyFill="1" applyBorder="1" applyAlignment="1">
      <alignment horizontal="left" vertical="top" wrapText="1"/>
    </xf>
    <xf numFmtId="49" fontId="27" fillId="25" borderId="12" xfId="281" applyNumberFormat="1" applyFont="1" applyFill="1" applyBorder="1" applyAlignment="1">
      <alignment horizontal="center" vertical="center" wrapText="1"/>
    </xf>
    <xf numFmtId="49" fontId="27" fillId="25" borderId="22" xfId="281" applyNumberFormat="1" applyFont="1" applyFill="1" applyBorder="1" applyAlignment="1">
      <alignment horizontal="center" vertical="center" wrapText="1"/>
    </xf>
    <xf numFmtId="49" fontId="27" fillId="25" borderId="15" xfId="281" applyNumberFormat="1" applyFont="1" applyFill="1" applyBorder="1" applyAlignment="1">
      <alignment horizontal="center" vertical="center" wrapText="1"/>
    </xf>
    <xf numFmtId="49" fontId="27" fillId="25" borderId="11" xfId="281" applyNumberFormat="1" applyFont="1" applyFill="1" applyBorder="1" applyAlignment="1">
      <alignment horizontal="center" wrapText="1"/>
    </xf>
    <xf numFmtId="0" fontId="26" fillId="25" borderId="13" xfId="281" applyFont="1" applyFill="1" applyBorder="1" applyAlignment="1">
      <alignment horizontal="left" vertical="top"/>
    </xf>
    <xf numFmtId="0" fontId="26" fillId="25" borderId="14" xfId="281" applyFont="1" applyFill="1" applyBorder="1" applyAlignment="1">
      <alignment horizontal="left" vertical="top"/>
    </xf>
    <xf numFmtId="49" fontId="38" fillId="25" borderId="11" xfId="281" applyNumberFormat="1" applyFont="1" applyFill="1" applyBorder="1" applyAlignment="1">
      <alignment horizontal="center" vertical="center" wrapText="1"/>
    </xf>
    <xf numFmtId="0" fontId="27" fillId="0" borderId="11" xfId="281" applyFont="1" applyFill="1" applyBorder="1" applyAlignment="1">
      <alignment horizontal="center" vertical="top"/>
    </xf>
    <xf numFmtId="0" fontId="26" fillId="0" borderId="13" xfId="281" applyFont="1" applyFill="1" applyBorder="1" applyAlignment="1">
      <alignment horizontal="left" vertical="top"/>
    </xf>
    <xf numFmtId="0" fontId="26" fillId="0" borderId="14" xfId="281" applyFont="1" applyFill="1" applyBorder="1" applyAlignment="1">
      <alignment horizontal="left" vertical="top"/>
    </xf>
    <xf numFmtId="0" fontId="27" fillId="0" borderId="12" xfId="281" applyFont="1" applyFill="1" applyBorder="1" applyAlignment="1">
      <alignment horizontal="center" vertical="center"/>
    </xf>
    <xf numFmtId="0" fontId="27" fillId="0" borderId="22" xfId="281" applyFont="1" applyFill="1" applyBorder="1" applyAlignment="1">
      <alignment horizontal="center" vertical="center"/>
    </xf>
    <xf numFmtId="0" fontId="27" fillId="0" borderId="15" xfId="281" applyFont="1" applyFill="1" applyBorder="1" applyAlignment="1">
      <alignment horizontal="center" vertical="center"/>
    </xf>
    <xf numFmtId="0" fontId="27" fillId="0" borderId="12" xfId="281" applyFont="1" applyFill="1" applyBorder="1" applyAlignment="1">
      <alignment horizontal="left" vertical="top" wrapText="1"/>
    </xf>
    <xf numFmtId="0" fontId="27" fillId="0" borderId="22" xfId="281" applyFont="1" applyFill="1" applyBorder="1" applyAlignment="1">
      <alignment horizontal="left" vertical="top" wrapText="1"/>
    </xf>
    <xf numFmtId="0" fontId="27" fillId="0" borderId="15" xfId="281" applyFont="1" applyFill="1" applyBorder="1" applyAlignment="1">
      <alignment horizontal="left" vertical="top" wrapText="1"/>
    </xf>
    <xf numFmtId="49" fontId="27" fillId="25" borderId="11" xfId="281" applyNumberFormat="1" applyFont="1" applyFill="1" applyBorder="1" applyAlignment="1">
      <alignment horizontal="center" vertical="center" wrapText="1"/>
    </xf>
    <xf numFmtId="49" fontId="38" fillId="25" borderId="11" xfId="281" applyNumberFormat="1" applyFont="1" applyFill="1" applyBorder="1" applyAlignment="1">
      <alignment horizontal="center" wrapText="1"/>
    </xf>
    <xf numFmtId="0" fontId="27" fillId="0" borderId="13" xfId="281" applyFont="1" applyFill="1" applyBorder="1" applyAlignment="1">
      <alignment horizontal="center" vertical="center"/>
    </xf>
    <xf numFmtId="0" fontId="27" fillId="0" borderId="11" xfId="281" applyFont="1" applyFill="1" applyBorder="1" applyAlignment="1">
      <alignment horizontal="left" vertical="top"/>
    </xf>
    <xf numFmtId="0" fontId="27" fillId="0" borderId="21" xfId="281" applyFont="1" applyFill="1" applyBorder="1" applyAlignment="1">
      <alignment horizontal="center" vertical="top"/>
    </xf>
    <xf numFmtId="0" fontId="27" fillId="0" borderId="23" xfId="281" applyFont="1" applyFill="1" applyBorder="1" applyAlignment="1">
      <alignment horizontal="center" vertical="top"/>
    </xf>
    <xf numFmtId="0" fontId="27" fillId="0" borderId="19" xfId="281" applyFont="1" applyFill="1" applyBorder="1" applyAlignment="1">
      <alignment horizontal="center" vertical="top"/>
    </xf>
    <xf numFmtId="0" fontId="27" fillId="0" borderId="16" xfId="281" applyFont="1" applyFill="1" applyBorder="1" applyAlignment="1">
      <alignment horizontal="center" vertical="top"/>
    </xf>
    <xf numFmtId="0" fontId="27" fillId="0" borderId="20" xfId="281" applyFont="1" applyFill="1" applyBorder="1" applyAlignment="1">
      <alignment horizontal="center" vertical="top"/>
    </xf>
    <xf numFmtId="0" fontId="27" fillId="0" borderId="17" xfId="281" applyFont="1" applyFill="1" applyBorder="1" applyAlignment="1">
      <alignment horizontal="center" vertical="top"/>
    </xf>
    <xf numFmtId="49" fontId="18" fillId="25" borderId="11" xfId="281" applyNumberFormat="1" applyFont="1" applyFill="1" applyBorder="1" applyAlignment="1">
      <alignment horizontal="center" vertical="center" wrapText="1"/>
    </xf>
    <xf numFmtId="49" fontId="18" fillId="25" borderId="11" xfId="281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left" vertical="center" wrapText="1"/>
    </xf>
    <xf numFmtId="49" fontId="27" fillId="25" borderId="12" xfId="281" applyNumberFormat="1" applyFont="1" applyFill="1" applyBorder="1" applyAlignment="1">
      <alignment horizontal="center" wrapText="1"/>
    </xf>
    <xf numFmtId="49" fontId="27" fillId="25" borderId="22" xfId="281" applyNumberFormat="1" applyFont="1" applyFill="1" applyBorder="1" applyAlignment="1">
      <alignment horizontal="center" wrapText="1"/>
    </xf>
    <xf numFmtId="49" fontId="27" fillId="25" borderId="15" xfId="281" applyNumberFormat="1" applyFont="1" applyFill="1" applyBorder="1" applyAlignment="1">
      <alignment horizontal="center" wrapText="1"/>
    </xf>
    <xf numFmtId="0" fontId="18" fillId="25" borderId="11" xfId="281" applyFont="1" applyFill="1" applyBorder="1" applyAlignment="1">
      <alignment horizontal="center"/>
    </xf>
    <xf numFmtId="49" fontId="38" fillId="25" borderId="12" xfId="281" applyNumberFormat="1" applyFont="1" applyFill="1" applyBorder="1" applyAlignment="1">
      <alignment horizontal="center" wrapText="1"/>
    </xf>
    <xf numFmtId="49" fontId="38" fillId="25" borderId="22" xfId="281" applyNumberFormat="1" applyFont="1" applyFill="1" applyBorder="1" applyAlignment="1">
      <alignment horizontal="center" wrapText="1"/>
    </xf>
    <xf numFmtId="49" fontId="38" fillId="25" borderId="15" xfId="281" applyNumberFormat="1" applyFont="1" applyFill="1" applyBorder="1" applyAlignment="1">
      <alignment horizontal="center" wrapText="1"/>
    </xf>
    <xf numFmtId="0" fontId="30" fillId="0" borderId="13" xfId="281" applyFont="1" applyFill="1" applyBorder="1" applyAlignment="1">
      <alignment horizontal="left" vertical="top"/>
    </xf>
    <xf numFmtId="0" fontId="30" fillId="0" borderId="14" xfId="281" applyFont="1" applyFill="1" applyBorder="1" applyAlignment="1">
      <alignment horizontal="left" vertical="top"/>
    </xf>
    <xf numFmtId="49" fontId="27" fillId="25" borderId="11" xfId="281" applyNumberFormat="1" applyFont="1" applyFill="1" applyBorder="1" applyAlignment="1">
      <alignment horizontal="left" wrapText="1"/>
    </xf>
    <xf numFmtId="49" fontId="38" fillId="25" borderId="11" xfId="281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27" fillId="0" borderId="11" xfId="281" applyFont="1" applyFill="1" applyBorder="1" applyAlignment="1">
      <alignment horizontal="center" vertical="top" wrapText="1"/>
    </xf>
    <xf numFmtId="0" fontId="27" fillId="25" borderId="0" xfId="281" applyFont="1" applyFill="1" applyBorder="1" applyAlignment="1">
      <alignment horizontal="left" vertical="top" wrapText="1"/>
    </xf>
    <xf numFmtId="0" fontId="27" fillId="25" borderId="11" xfId="280" applyFont="1" applyFill="1" applyBorder="1" applyAlignment="1">
      <alignment horizontal="center" vertical="center"/>
    </xf>
    <xf numFmtId="0" fontId="27" fillId="25" borderId="11" xfId="280" applyFont="1" applyFill="1" applyBorder="1" applyAlignment="1">
      <alignment horizontal="left" vertical="top" wrapText="1"/>
    </xf>
    <xf numFmtId="49" fontId="27" fillId="25" borderId="11" xfId="280" applyNumberFormat="1" applyFont="1" applyFill="1" applyBorder="1" applyAlignment="1">
      <alignment horizontal="center" wrapText="1"/>
    </xf>
    <xf numFmtId="0" fontId="27" fillId="25" borderId="21" xfId="280" applyFont="1" applyFill="1" applyBorder="1" applyAlignment="1">
      <alignment horizontal="center" vertical="top"/>
    </xf>
    <xf numFmtId="0" fontId="27" fillId="25" borderId="23" xfId="280" applyFont="1" applyFill="1" applyBorder="1" applyAlignment="1">
      <alignment horizontal="center" vertical="top"/>
    </xf>
    <xf numFmtId="0" fontId="27" fillId="25" borderId="19" xfId="280" applyFont="1" applyFill="1" applyBorder="1" applyAlignment="1">
      <alignment horizontal="center" vertical="top"/>
    </xf>
    <xf numFmtId="0" fontId="27" fillId="25" borderId="16" xfId="280" applyFont="1" applyFill="1" applyBorder="1" applyAlignment="1">
      <alignment horizontal="center" vertical="top"/>
    </xf>
    <xf numFmtId="0" fontId="27" fillId="25" borderId="20" xfId="280" applyFont="1" applyFill="1" applyBorder="1" applyAlignment="1">
      <alignment horizontal="center" vertical="top"/>
    </xf>
    <xf numFmtId="0" fontId="27" fillId="25" borderId="17" xfId="280" applyFont="1" applyFill="1" applyBorder="1" applyAlignment="1">
      <alignment horizontal="center" vertical="top"/>
    </xf>
    <xf numFmtId="0" fontId="26" fillId="25" borderId="13" xfId="280" applyFont="1" applyFill="1" applyBorder="1" applyAlignment="1">
      <alignment horizontal="left" vertical="top"/>
    </xf>
    <xf numFmtId="0" fontId="26" fillId="25" borderId="14" xfId="280" applyFont="1" applyFill="1" applyBorder="1" applyAlignment="1">
      <alignment horizontal="left" vertical="top"/>
    </xf>
    <xf numFmtId="165" fontId="29" fillId="25" borderId="0" xfId="524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 wrapText="1"/>
    </xf>
    <xf numFmtId="0" fontId="27" fillId="25" borderId="11" xfId="280" applyFont="1" applyFill="1" applyBorder="1" applyAlignment="1">
      <alignment horizontal="center" vertical="center" wrapText="1"/>
    </xf>
    <xf numFmtId="0" fontId="27" fillId="25" borderId="11" xfId="280" applyFont="1" applyFill="1" applyBorder="1" applyAlignment="1">
      <alignment horizontal="left" vertical="center"/>
    </xf>
    <xf numFmtId="0" fontId="27" fillId="25" borderId="13" xfId="280" applyFont="1" applyFill="1" applyBorder="1" applyAlignment="1">
      <alignment horizontal="center" vertical="center"/>
    </xf>
    <xf numFmtId="0" fontId="27" fillId="25" borderId="24" xfId="280" applyFont="1" applyFill="1" applyBorder="1" applyAlignment="1">
      <alignment horizontal="center" vertical="center"/>
    </xf>
    <xf numFmtId="0" fontId="27" fillId="25" borderId="14" xfId="280" applyFont="1" applyFill="1" applyBorder="1" applyAlignment="1">
      <alignment horizontal="center" vertical="center"/>
    </xf>
    <xf numFmtId="49" fontId="29" fillId="25" borderId="11" xfId="280" applyNumberFormat="1" applyFont="1" applyFill="1" applyBorder="1" applyAlignment="1">
      <alignment horizontal="center" vertical="center" wrapText="1"/>
    </xf>
    <xf numFmtId="0" fontId="27" fillId="25" borderId="11" xfId="280" applyNumberFormat="1" applyFont="1" applyFill="1" applyBorder="1" applyAlignment="1">
      <alignment horizontal="center" vertical="center" wrapText="1"/>
    </xf>
    <xf numFmtId="0" fontId="27" fillId="25" borderId="11" xfId="280" applyNumberFormat="1" applyFont="1" applyFill="1" applyBorder="1" applyAlignment="1">
      <alignment horizontal="center" vertical="center"/>
    </xf>
    <xf numFmtId="0" fontId="27" fillId="25" borderId="21" xfId="280" applyNumberFormat="1" applyFont="1" applyFill="1" applyBorder="1" applyAlignment="1">
      <alignment horizontal="center" vertical="center"/>
    </xf>
    <xf numFmtId="0" fontId="27" fillId="25" borderId="20" xfId="280" applyNumberFormat="1" applyFont="1" applyFill="1" applyBorder="1" applyAlignment="1">
      <alignment horizontal="center" vertical="center"/>
    </xf>
    <xf numFmtId="0" fontId="27" fillId="25" borderId="11" xfId="281" applyFont="1" applyFill="1" applyBorder="1" applyAlignment="1">
      <alignment horizontal="left" vertical="top" wrapText="1"/>
    </xf>
    <xf numFmtId="0" fontId="27" fillId="25" borderId="12" xfId="280" applyFont="1" applyFill="1" applyBorder="1" applyAlignment="1">
      <alignment horizontal="left" vertical="top" wrapText="1"/>
    </xf>
    <xf numFmtId="0" fontId="27" fillId="25" borderId="22" xfId="280" applyFont="1" applyFill="1" applyBorder="1" applyAlignment="1">
      <alignment horizontal="left" vertical="top" wrapText="1"/>
    </xf>
    <xf numFmtId="0" fontId="27" fillId="25" borderId="15" xfId="280" applyFont="1" applyFill="1" applyBorder="1" applyAlignment="1">
      <alignment horizontal="left" vertical="top" wrapText="1"/>
    </xf>
    <xf numFmtId="49" fontId="38" fillId="25" borderId="11" xfId="280" applyNumberFormat="1" applyFont="1" applyFill="1" applyBorder="1" applyAlignment="1">
      <alignment horizontal="center" vertical="center" wrapText="1"/>
    </xf>
    <xf numFmtId="0" fontId="27" fillId="25" borderId="12" xfId="281" applyFont="1" applyFill="1" applyBorder="1" applyAlignment="1">
      <alignment horizontal="center" vertical="center"/>
    </xf>
    <xf numFmtId="0" fontId="27" fillId="25" borderId="22" xfId="281" applyFont="1" applyFill="1" applyBorder="1" applyAlignment="1">
      <alignment horizontal="center" vertical="center"/>
    </xf>
    <xf numFmtId="0" fontId="27" fillId="25" borderId="15" xfId="281" applyFont="1" applyFill="1" applyBorder="1" applyAlignment="1">
      <alignment horizontal="center" vertical="center"/>
    </xf>
    <xf numFmtId="0" fontId="27" fillId="25" borderId="12" xfId="281" applyFont="1" applyFill="1" applyBorder="1" applyAlignment="1">
      <alignment horizontal="left" vertical="top" wrapText="1"/>
    </xf>
    <xf numFmtId="0" fontId="27" fillId="25" borderId="22" xfId="281" applyFont="1" applyFill="1" applyBorder="1" applyAlignment="1">
      <alignment horizontal="left" vertical="top" wrapText="1"/>
    </xf>
    <xf numFmtId="0" fontId="27" fillId="25" borderId="15" xfId="281" applyFont="1" applyFill="1" applyBorder="1" applyAlignment="1">
      <alignment horizontal="left" vertical="top" wrapText="1"/>
    </xf>
    <xf numFmtId="0" fontId="27" fillId="25" borderId="12" xfId="280" applyFont="1" applyFill="1" applyBorder="1" applyAlignment="1">
      <alignment horizontal="center" vertical="center"/>
    </xf>
    <xf numFmtId="0" fontId="27" fillId="25" borderId="22" xfId="280" applyFont="1" applyFill="1" applyBorder="1" applyAlignment="1">
      <alignment horizontal="center" vertical="center"/>
    </xf>
    <xf numFmtId="0" fontId="27" fillId="25" borderId="15" xfId="280" applyFont="1" applyFill="1" applyBorder="1" applyAlignment="1">
      <alignment horizontal="center" vertical="center"/>
    </xf>
    <xf numFmtId="49" fontId="27" fillId="25" borderId="11" xfId="280" applyNumberFormat="1" applyFont="1" applyFill="1" applyBorder="1" applyAlignment="1">
      <alignment horizontal="center" vertical="center" wrapText="1"/>
    </xf>
    <xf numFmtId="0" fontId="27" fillId="25" borderId="11" xfId="280" applyFont="1" applyFill="1" applyBorder="1" applyAlignment="1">
      <alignment horizontal="center" vertical="top"/>
    </xf>
    <xf numFmtId="49" fontId="38" fillId="25" borderId="11" xfId="280" applyNumberFormat="1" applyFont="1" applyFill="1" applyBorder="1" applyAlignment="1">
      <alignment horizontal="center" wrapText="1"/>
    </xf>
    <xf numFmtId="0" fontId="27" fillId="25" borderId="12" xfId="280" applyFont="1" applyFill="1" applyBorder="1" applyAlignment="1">
      <alignment horizontal="left" vertical="center" wrapText="1"/>
    </xf>
    <xf numFmtId="0" fontId="27" fillId="25" borderId="22" xfId="280" applyFont="1" applyFill="1" applyBorder="1" applyAlignment="1">
      <alignment horizontal="left" vertical="center" wrapText="1"/>
    </xf>
    <xf numFmtId="0" fontId="27" fillId="25" borderId="15" xfId="280" applyFont="1" applyFill="1" applyBorder="1" applyAlignment="1">
      <alignment horizontal="left" vertical="center" wrapText="1"/>
    </xf>
    <xf numFmtId="0" fontId="27" fillId="25" borderId="11" xfId="280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left" vertical="center" wrapText="1"/>
    </xf>
    <xf numFmtId="0" fontId="34" fillId="25" borderId="22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 wrapText="1"/>
    </xf>
    <xf numFmtId="0" fontId="27" fillId="25" borderId="11" xfId="281" applyFont="1" applyFill="1" applyBorder="1" applyAlignment="1">
      <alignment horizontal="center" vertical="top"/>
    </xf>
    <xf numFmtId="0" fontId="34" fillId="25" borderId="11" xfId="0" applyFont="1" applyFill="1" applyBorder="1" applyAlignment="1">
      <alignment horizontal="left" vertical="center" wrapText="1"/>
    </xf>
    <xf numFmtId="0" fontId="30" fillId="25" borderId="13" xfId="280" applyFont="1" applyFill="1" applyBorder="1" applyAlignment="1">
      <alignment horizontal="left" vertical="top"/>
    </xf>
    <xf numFmtId="0" fontId="30" fillId="25" borderId="14" xfId="280" applyFont="1" applyFill="1" applyBorder="1" applyAlignment="1">
      <alignment horizontal="left" vertical="top"/>
    </xf>
    <xf numFmtId="49" fontId="27" fillId="25" borderId="12" xfId="280" applyNumberFormat="1" applyFont="1" applyFill="1" applyBorder="1" applyAlignment="1">
      <alignment horizontal="center" wrapText="1"/>
    </xf>
    <xf numFmtId="49" fontId="27" fillId="25" borderId="22" xfId="280" applyNumberFormat="1" applyFont="1" applyFill="1" applyBorder="1" applyAlignment="1">
      <alignment horizontal="center" wrapText="1"/>
    </xf>
    <xf numFmtId="49" fontId="27" fillId="25" borderId="15" xfId="280" applyNumberFormat="1" applyFont="1" applyFill="1" applyBorder="1" applyAlignment="1">
      <alignment horizontal="center" wrapText="1"/>
    </xf>
    <xf numFmtId="0" fontId="27" fillId="25" borderId="11" xfId="280" applyFont="1" applyFill="1" applyBorder="1" applyAlignment="1">
      <alignment horizontal="center" vertical="top" wrapText="1"/>
    </xf>
    <xf numFmtId="49" fontId="38" fillId="25" borderId="12" xfId="280" applyNumberFormat="1" applyFont="1" applyFill="1" applyBorder="1" applyAlignment="1">
      <alignment horizontal="center" vertical="center" wrapText="1"/>
    </xf>
    <xf numFmtId="49" fontId="38" fillId="25" borderId="22" xfId="280" applyNumberFormat="1" applyFont="1" applyFill="1" applyBorder="1" applyAlignment="1">
      <alignment horizontal="center" vertical="center" wrapText="1"/>
    </xf>
    <xf numFmtId="49" fontId="38" fillId="25" borderId="15" xfId="280" applyNumberFormat="1" applyFont="1" applyFill="1" applyBorder="1" applyAlignment="1">
      <alignment horizontal="center" vertical="center" wrapText="1"/>
    </xf>
    <xf numFmtId="0" fontId="27" fillId="25" borderId="19" xfId="280" applyFont="1" applyFill="1" applyBorder="1" applyAlignment="1">
      <alignment horizontal="center" vertical="top" wrapText="1"/>
    </xf>
    <xf numFmtId="0" fontId="27" fillId="25" borderId="16" xfId="280" applyFont="1" applyFill="1" applyBorder="1" applyAlignment="1">
      <alignment horizontal="center" vertical="top" wrapText="1"/>
    </xf>
    <xf numFmtId="0" fontId="27" fillId="25" borderId="20" xfId="280" applyFont="1" applyFill="1" applyBorder="1" applyAlignment="1">
      <alignment horizontal="center" vertical="top" wrapText="1"/>
    </xf>
    <xf numFmtId="0" fontId="27" fillId="25" borderId="17" xfId="28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0" fontId="46" fillId="27" borderId="11" xfId="281" applyFont="1" applyFill="1" applyBorder="1" applyAlignment="1">
      <alignment horizontal="left" vertical="top"/>
    </xf>
    <xf numFmtId="0" fontId="46" fillId="27" borderId="11" xfId="0" applyFont="1" applyFill="1" applyBorder="1" applyAlignment="1">
      <alignment horizontal="left"/>
    </xf>
    <xf numFmtId="0" fontId="46" fillId="27" borderId="11" xfId="0" applyFont="1" applyFill="1" applyBorder="1" applyAlignment="1">
      <alignment horizontal="left" vertical="center"/>
    </xf>
    <xf numFmtId="0" fontId="46" fillId="27" borderId="13" xfId="0" applyFont="1" applyFill="1" applyBorder="1" applyAlignment="1">
      <alignment horizontal="left" vertical="center"/>
    </xf>
    <xf numFmtId="0" fontId="46" fillId="27" borderId="14" xfId="0" applyFont="1" applyFill="1" applyBorder="1" applyAlignment="1">
      <alignment horizontal="left" vertical="center"/>
    </xf>
  </cellXfs>
  <cellStyles count="528">
    <cellStyle name="1Normal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ITEM_BLANK_BACKGROUND" xfId="20"/>
    <cellStyle name="Norma11l" xfId="21"/>
    <cellStyle name="Normal_Bankruptcy indicators" xfId="22"/>
    <cellStyle name="SECTION" xfId="23"/>
    <cellStyle name="SUBSECTION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 10" xfId="34"/>
    <cellStyle name="Гиперссылка 100" xfId="35"/>
    <cellStyle name="Гиперссылка 101" xfId="36"/>
    <cellStyle name="Гиперссылка 102" xfId="37"/>
    <cellStyle name="Гиперссылка 103" xfId="38"/>
    <cellStyle name="Гиперссылка 104" xfId="39"/>
    <cellStyle name="Гиперссылка 105" xfId="40"/>
    <cellStyle name="Гиперссылка 106" xfId="41"/>
    <cellStyle name="Гиперссылка 107" xfId="42"/>
    <cellStyle name="Гиперссылка 108" xfId="43"/>
    <cellStyle name="Гиперссылка 109" xfId="44"/>
    <cellStyle name="Гиперссылка 11" xfId="45"/>
    <cellStyle name="Гиперссылка 110" xfId="46"/>
    <cellStyle name="Гиперссылка 111" xfId="47"/>
    <cellStyle name="Гиперссылка 112" xfId="48"/>
    <cellStyle name="Гиперссылка 113" xfId="49"/>
    <cellStyle name="Гиперссылка 114" xfId="50"/>
    <cellStyle name="Гиперссылка 115" xfId="51"/>
    <cellStyle name="Гиперссылка 116" xfId="52"/>
    <cellStyle name="Гиперссылка 117" xfId="53"/>
    <cellStyle name="Гиперссылка 118" xfId="54"/>
    <cellStyle name="Гиперссылка 119" xfId="55"/>
    <cellStyle name="Гиперссылка 12" xfId="56"/>
    <cellStyle name="Гиперссылка 120" xfId="57"/>
    <cellStyle name="Гиперссылка 121" xfId="58"/>
    <cellStyle name="Гиперссылка 122" xfId="59"/>
    <cellStyle name="Гиперссылка 123" xfId="60"/>
    <cellStyle name="Гиперссылка 124" xfId="61"/>
    <cellStyle name="Гиперссылка 125" xfId="62"/>
    <cellStyle name="Гиперссылка 126" xfId="63"/>
    <cellStyle name="Гиперссылка 127" xfId="64"/>
    <cellStyle name="Гиперссылка 128" xfId="65"/>
    <cellStyle name="Гиперссылка 129" xfId="66"/>
    <cellStyle name="Гиперссылка 13" xfId="67"/>
    <cellStyle name="Гиперссылка 130" xfId="68"/>
    <cellStyle name="Гиперссылка 131" xfId="69"/>
    <cellStyle name="Гиперссылка 132" xfId="70"/>
    <cellStyle name="Гиперссылка 133" xfId="71"/>
    <cellStyle name="Гиперссылка 134" xfId="72"/>
    <cellStyle name="Гиперссылка 135" xfId="73"/>
    <cellStyle name="Гиперссылка 136" xfId="74"/>
    <cellStyle name="Гиперссылка 137" xfId="75"/>
    <cellStyle name="Гиперссылка 138" xfId="76"/>
    <cellStyle name="Гиперссылка 139" xfId="77"/>
    <cellStyle name="Гиперссылка 14" xfId="78"/>
    <cellStyle name="Гиперссылка 140" xfId="79"/>
    <cellStyle name="Гиперссылка 141" xfId="80"/>
    <cellStyle name="Гиперссылка 142" xfId="81"/>
    <cellStyle name="Гиперссылка 143" xfId="82"/>
    <cellStyle name="Гиперссылка 144" xfId="83"/>
    <cellStyle name="Гиперссылка 145" xfId="84"/>
    <cellStyle name="Гиперссылка 146" xfId="85"/>
    <cellStyle name="Гиперссылка 147" xfId="86"/>
    <cellStyle name="Гиперссылка 148" xfId="87"/>
    <cellStyle name="Гиперссылка 149" xfId="88"/>
    <cellStyle name="Гиперссылка 15" xfId="89"/>
    <cellStyle name="Гиперссылка 150" xfId="90"/>
    <cellStyle name="Гиперссылка 151" xfId="91"/>
    <cellStyle name="Гиперссылка 152" xfId="92"/>
    <cellStyle name="Гиперссылка 153" xfId="93"/>
    <cellStyle name="Гиперссылка 154" xfId="94"/>
    <cellStyle name="Гиперссылка 155" xfId="95"/>
    <cellStyle name="Гиперссылка 156" xfId="96"/>
    <cellStyle name="Гиперссылка 157" xfId="97"/>
    <cellStyle name="Гиперссылка 158" xfId="98"/>
    <cellStyle name="Гиперссылка 159" xfId="99"/>
    <cellStyle name="Гиперссылка 16" xfId="100"/>
    <cellStyle name="Гиперссылка 160" xfId="101"/>
    <cellStyle name="Гиперссылка 161" xfId="102"/>
    <cellStyle name="Гиперссылка 162" xfId="103"/>
    <cellStyle name="Гиперссылка 163" xfId="104"/>
    <cellStyle name="Гиперссылка 164" xfId="105"/>
    <cellStyle name="Гиперссылка 165" xfId="106"/>
    <cellStyle name="Гиперссылка 166" xfId="107"/>
    <cellStyle name="Гиперссылка 167" xfId="108"/>
    <cellStyle name="Гиперссылка 168" xfId="109"/>
    <cellStyle name="Гиперссылка 169" xfId="110"/>
    <cellStyle name="Гиперссылка 17" xfId="111"/>
    <cellStyle name="Гиперссылка 170" xfId="112"/>
    <cellStyle name="Гиперссылка 171" xfId="113"/>
    <cellStyle name="Гиперссылка 172" xfId="114"/>
    <cellStyle name="Гиперссылка 173" xfId="115"/>
    <cellStyle name="Гиперссылка 174" xfId="116"/>
    <cellStyle name="Гиперссылка 175" xfId="117"/>
    <cellStyle name="Гиперссылка 176" xfId="118"/>
    <cellStyle name="Гиперссылка 177" xfId="119"/>
    <cellStyle name="Гиперссылка 178" xfId="120"/>
    <cellStyle name="Гиперссылка 179" xfId="121"/>
    <cellStyle name="Гиперссылка 18" xfId="122"/>
    <cellStyle name="Гиперссылка 180" xfId="123"/>
    <cellStyle name="Гиперссылка 181" xfId="124"/>
    <cellStyle name="Гиперссылка 182" xfId="125"/>
    <cellStyle name="Гиперссылка 183" xfId="126"/>
    <cellStyle name="Гиперссылка 184" xfId="127"/>
    <cellStyle name="Гиперссылка 185" xfId="128"/>
    <cellStyle name="Гиперссылка 186" xfId="129"/>
    <cellStyle name="Гиперссылка 187" xfId="130"/>
    <cellStyle name="Гиперссылка 188" xfId="131"/>
    <cellStyle name="Гиперссылка 189" xfId="132"/>
    <cellStyle name="Гиперссылка 19" xfId="133"/>
    <cellStyle name="Гиперссылка 190" xfId="134"/>
    <cellStyle name="Гиперссылка 191" xfId="135"/>
    <cellStyle name="Гиперссылка 192" xfId="136"/>
    <cellStyle name="Гиперссылка 193" xfId="137"/>
    <cellStyle name="Гиперссылка 194" xfId="138"/>
    <cellStyle name="Гиперссылка 195" xfId="139"/>
    <cellStyle name="Гиперссылка 196" xfId="140"/>
    <cellStyle name="Гиперссылка 197" xfId="141"/>
    <cellStyle name="Гиперссылка 198" xfId="142"/>
    <cellStyle name="Гиперссылка 199" xfId="143"/>
    <cellStyle name="Гиперссылка 2" xfId="144"/>
    <cellStyle name="Гиперссылка 20" xfId="145"/>
    <cellStyle name="Гиперссылка 200" xfId="146"/>
    <cellStyle name="Гиперссылка 201" xfId="147"/>
    <cellStyle name="Гиперссылка 202" xfId="148"/>
    <cellStyle name="Гиперссылка 203" xfId="149"/>
    <cellStyle name="Гиперссылка 204" xfId="150"/>
    <cellStyle name="Гиперссылка 205" xfId="151"/>
    <cellStyle name="Гиперссылка 206" xfId="152"/>
    <cellStyle name="Гиперссылка 207" xfId="153"/>
    <cellStyle name="Гиперссылка 208" xfId="154"/>
    <cellStyle name="Гиперссылка 209" xfId="155"/>
    <cellStyle name="Гиперссылка 21" xfId="156"/>
    <cellStyle name="Гиперссылка 210" xfId="157"/>
    <cellStyle name="Гиперссылка 211" xfId="158"/>
    <cellStyle name="Гиперссылка 212" xfId="159"/>
    <cellStyle name="Гиперссылка 213" xfId="160"/>
    <cellStyle name="Гиперссылка 214" xfId="161"/>
    <cellStyle name="Гиперссылка 215" xfId="162"/>
    <cellStyle name="Гиперссылка 216" xfId="163"/>
    <cellStyle name="Гиперссылка 217" xfId="164"/>
    <cellStyle name="Гиперссылка 218" xfId="165"/>
    <cellStyle name="Гиперссылка 219" xfId="166"/>
    <cellStyle name="Гиперссылка 22" xfId="167"/>
    <cellStyle name="Гиперссылка 220" xfId="168"/>
    <cellStyle name="Гиперссылка 221" xfId="169"/>
    <cellStyle name="Гиперссылка 222" xfId="170"/>
    <cellStyle name="Гиперссылка 223" xfId="171"/>
    <cellStyle name="Гиперссылка 224" xfId="172"/>
    <cellStyle name="Гиперссылка 225" xfId="173"/>
    <cellStyle name="Гиперссылка 226" xfId="174"/>
    <cellStyle name="Гиперссылка 227" xfId="175"/>
    <cellStyle name="Гиперссылка 228" xfId="176"/>
    <cellStyle name="Гиперссылка 229" xfId="177"/>
    <cellStyle name="Гиперссылка 23" xfId="178"/>
    <cellStyle name="Гиперссылка 24" xfId="179"/>
    <cellStyle name="Гиперссылка 25" xfId="180"/>
    <cellStyle name="Гиперссылка 26" xfId="181"/>
    <cellStyle name="Гиперссылка 27" xfId="182"/>
    <cellStyle name="Гиперссылка 28" xfId="183"/>
    <cellStyle name="Гиперссылка 29" xfId="184"/>
    <cellStyle name="Гиперссылка 3" xfId="185"/>
    <cellStyle name="Гиперссылка 30" xfId="186"/>
    <cellStyle name="Гиперссылка 31" xfId="187"/>
    <cellStyle name="Гиперссылка 32" xfId="188"/>
    <cellStyle name="Гиперссылка 33" xfId="189"/>
    <cellStyle name="Гиперссылка 34" xfId="190"/>
    <cellStyle name="Гиперссылка 35" xfId="191"/>
    <cellStyle name="Гиперссылка 36" xfId="192"/>
    <cellStyle name="Гиперссылка 37" xfId="193"/>
    <cellStyle name="Гиперссылка 38" xfId="194"/>
    <cellStyle name="Гиперссылка 39" xfId="195"/>
    <cellStyle name="Гиперссылка 4" xfId="196"/>
    <cellStyle name="Гиперссылка 40" xfId="197"/>
    <cellStyle name="Гиперссылка 41" xfId="198"/>
    <cellStyle name="Гиперссылка 42" xfId="199"/>
    <cellStyle name="Гиперссылка 43" xfId="200"/>
    <cellStyle name="Гиперссылка 44" xfId="201"/>
    <cellStyle name="Гиперссылка 45" xfId="202"/>
    <cellStyle name="Гиперссылка 46" xfId="203"/>
    <cellStyle name="Гиперссылка 47" xfId="204"/>
    <cellStyle name="Гиперссылка 48" xfId="205"/>
    <cellStyle name="Гиперссылка 49" xfId="206"/>
    <cellStyle name="Гиперссылка 5" xfId="207"/>
    <cellStyle name="Гиперссылка 50" xfId="208"/>
    <cellStyle name="Гиперссылка 51" xfId="209"/>
    <cellStyle name="Гиперссылка 52" xfId="210"/>
    <cellStyle name="Гиперссылка 53" xfId="211"/>
    <cellStyle name="Гиперссылка 54" xfId="212"/>
    <cellStyle name="Гиперссылка 55" xfId="213"/>
    <cellStyle name="Гиперссылка 56" xfId="214"/>
    <cellStyle name="Гиперссылка 57" xfId="215"/>
    <cellStyle name="Гиперссылка 58" xfId="216"/>
    <cellStyle name="Гиперссылка 59" xfId="217"/>
    <cellStyle name="Гиперссылка 6" xfId="218"/>
    <cellStyle name="Гиперссылка 60" xfId="219"/>
    <cellStyle name="Гиперссылка 61" xfId="220"/>
    <cellStyle name="Гиперссылка 62" xfId="221"/>
    <cellStyle name="Гиперссылка 63" xfId="222"/>
    <cellStyle name="Гиперссылка 64" xfId="223"/>
    <cellStyle name="Гиперссылка 65" xfId="224"/>
    <cellStyle name="Гиперссылка 66" xfId="225"/>
    <cellStyle name="Гиперссылка 67" xfId="226"/>
    <cellStyle name="Гиперссылка 68" xfId="227"/>
    <cellStyle name="Гиперссылка 69" xfId="228"/>
    <cellStyle name="Гиперссылка 7" xfId="229"/>
    <cellStyle name="Гиперссылка 70" xfId="230"/>
    <cellStyle name="Гиперссылка 71" xfId="231"/>
    <cellStyle name="Гиперссылка 72" xfId="232"/>
    <cellStyle name="Гиперссылка 73" xfId="233"/>
    <cellStyle name="Гиперссылка 74" xfId="234"/>
    <cellStyle name="Гиперссылка 75" xfId="235"/>
    <cellStyle name="Гиперссылка 76" xfId="236"/>
    <cellStyle name="Гиперссылка 77" xfId="237"/>
    <cellStyle name="Гиперссылка 78" xfId="238"/>
    <cellStyle name="Гиперссылка 79" xfId="239"/>
    <cellStyle name="Гиперссылка 8" xfId="240"/>
    <cellStyle name="Гиперссылка 80" xfId="241"/>
    <cellStyle name="Гиперссылка 81" xfId="242"/>
    <cellStyle name="Гиперссылка 82" xfId="243"/>
    <cellStyle name="Гиперссылка 83" xfId="244"/>
    <cellStyle name="Гиперссылка 84" xfId="245"/>
    <cellStyle name="Гиперссылка 85" xfId="246"/>
    <cellStyle name="Гиперссылка 86" xfId="247"/>
    <cellStyle name="Гиперссылка 87" xfId="248"/>
    <cellStyle name="Гиперссылка 88" xfId="249"/>
    <cellStyle name="Гиперссылка 89" xfId="250"/>
    <cellStyle name="Гиперссылка 9" xfId="251"/>
    <cellStyle name="Гиперссылка 90" xfId="252"/>
    <cellStyle name="Гиперссылка 91" xfId="253"/>
    <cellStyle name="Гиперссылка 92" xfId="254"/>
    <cellStyle name="Гиперссылка 93" xfId="255"/>
    <cellStyle name="Гиперссылка 94" xfId="256"/>
    <cellStyle name="Гиперссылка 95" xfId="257"/>
    <cellStyle name="Гиперссылка 96" xfId="258"/>
    <cellStyle name="Гиперссылка 97" xfId="259"/>
    <cellStyle name="Гиперссылка 98" xfId="260"/>
    <cellStyle name="Гиперссылка 99" xfId="261"/>
    <cellStyle name="Денежный 2" xfId="262"/>
    <cellStyle name="Заголовок 1 2" xfId="263"/>
    <cellStyle name="Заголовок 2 2" xfId="264"/>
    <cellStyle name="Заголовок 3 2" xfId="265"/>
    <cellStyle name="Заголовок 4 2" xfId="266"/>
    <cellStyle name="Итог 2" xfId="267"/>
    <cellStyle name="Контрольная ячейка 2" xfId="268"/>
    <cellStyle name="Название 2" xfId="269"/>
    <cellStyle name="Нейтральный 2" xfId="270"/>
    <cellStyle name="Обычный" xfId="0" builtinId="0"/>
    <cellStyle name="Обычный 10" xfId="271"/>
    <cellStyle name="Обычный 2" xfId="272"/>
    <cellStyle name="Обычный 2 3" xfId="273"/>
    <cellStyle name="Обычный 2 3 2 2" xfId="274"/>
    <cellStyle name="Обычный 3" xfId="275"/>
    <cellStyle name="Обычный 3 2" xfId="276"/>
    <cellStyle name="Обычный 3 2 2" xfId="277"/>
    <cellStyle name="Обычный 4" xfId="278"/>
    <cellStyle name="Обычный 5" xfId="279"/>
    <cellStyle name="Обычный 6" xfId="280"/>
    <cellStyle name="Обычный 6 2" xfId="281"/>
    <cellStyle name="Обычный 7" xfId="282"/>
    <cellStyle name="Открывавшаяся гиперссылка 10" xfId="283"/>
    <cellStyle name="Открывавшаяся гиперссылка 100" xfId="284"/>
    <cellStyle name="Открывавшаяся гиперссылка 101" xfId="285"/>
    <cellStyle name="Открывавшаяся гиперссылка 102" xfId="286"/>
    <cellStyle name="Открывавшаяся гиперссылка 103" xfId="287"/>
    <cellStyle name="Открывавшаяся гиперссылка 104" xfId="288"/>
    <cellStyle name="Открывавшаяся гиперссылка 105" xfId="289"/>
    <cellStyle name="Открывавшаяся гиперссылка 106" xfId="290"/>
    <cellStyle name="Открывавшаяся гиперссылка 107" xfId="291"/>
    <cellStyle name="Открывавшаяся гиперссылка 108" xfId="292"/>
    <cellStyle name="Открывавшаяся гиперссылка 109" xfId="293"/>
    <cellStyle name="Открывавшаяся гиперссылка 11" xfId="294"/>
    <cellStyle name="Открывавшаяся гиперссылка 110" xfId="295"/>
    <cellStyle name="Открывавшаяся гиперссылка 111" xfId="296"/>
    <cellStyle name="Открывавшаяся гиперссылка 112" xfId="297"/>
    <cellStyle name="Открывавшаяся гиперссылка 113" xfId="298"/>
    <cellStyle name="Открывавшаяся гиперссылка 114" xfId="299"/>
    <cellStyle name="Открывавшаяся гиперссылка 115" xfId="300"/>
    <cellStyle name="Открывавшаяся гиперссылка 116" xfId="301"/>
    <cellStyle name="Открывавшаяся гиперссылка 117" xfId="302"/>
    <cellStyle name="Открывавшаяся гиперссылка 118" xfId="303"/>
    <cellStyle name="Открывавшаяся гиперссылка 119" xfId="304"/>
    <cellStyle name="Открывавшаяся гиперссылка 12" xfId="305"/>
    <cellStyle name="Открывавшаяся гиперссылка 120" xfId="306"/>
    <cellStyle name="Открывавшаяся гиперссылка 121" xfId="307"/>
    <cellStyle name="Открывавшаяся гиперссылка 122" xfId="308"/>
    <cellStyle name="Открывавшаяся гиперссылка 123" xfId="309"/>
    <cellStyle name="Открывавшаяся гиперссылка 124" xfId="310"/>
    <cellStyle name="Открывавшаяся гиперссылка 125" xfId="311"/>
    <cellStyle name="Открывавшаяся гиперссылка 126" xfId="312"/>
    <cellStyle name="Открывавшаяся гиперссылка 127" xfId="313"/>
    <cellStyle name="Открывавшаяся гиперссылка 128" xfId="314"/>
    <cellStyle name="Открывавшаяся гиперссылка 129" xfId="315"/>
    <cellStyle name="Открывавшаяся гиперссылка 13" xfId="316"/>
    <cellStyle name="Открывавшаяся гиперссылка 130" xfId="317"/>
    <cellStyle name="Открывавшаяся гиперссылка 131" xfId="318"/>
    <cellStyle name="Открывавшаяся гиперссылка 132" xfId="319"/>
    <cellStyle name="Открывавшаяся гиперссылка 133" xfId="320"/>
    <cellStyle name="Открывавшаяся гиперссылка 134" xfId="321"/>
    <cellStyle name="Открывавшаяся гиперссылка 135" xfId="322"/>
    <cellStyle name="Открывавшаяся гиперссылка 136" xfId="323"/>
    <cellStyle name="Открывавшаяся гиперссылка 137" xfId="324"/>
    <cellStyle name="Открывавшаяся гиперссылка 138" xfId="325"/>
    <cellStyle name="Открывавшаяся гиперссылка 139" xfId="326"/>
    <cellStyle name="Открывавшаяся гиперссылка 14" xfId="327"/>
    <cellStyle name="Открывавшаяся гиперссылка 140" xfId="328"/>
    <cellStyle name="Открывавшаяся гиперссылка 141" xfId="329"/>
    <cellStyle name="Открывавшаяся гиперссылка 142" xfId="330"/>
    <cellStyle name="Открывавшаяся гиперссылка 143" xfId="331"/>
    <cellStyle name="Открывавшаяся гиперссылка 144" xfId="332"/>
    <cellStyle name="Открывавшаяся гиперссылка 145" xfId="333"/>
    <cellStyle name="Открывавшаяся гиперссылка 146" xfId="334"/>
    <cellStyle name="Открывавшаяся гиперссылка 147" xfId="335"/>
    <cellStyle name="Открывавшаяся гиперссылка 148" xfId="336"/>
    <cellStyle name="Открывавшаяся гиперссылка 149" xfId="337"/>
    <cellStyle name="Открывавшаяся гиперссылка 15" xfId="338"/>
    <cellStyle name="Открывавшаяся гиперссылка 150" xfId="339"/>
    <cellStyle name="Открывавшаяся гиперссылка 151" xfId="340"/>
    <cellStyle name="Открывавшаяся гиперссылка 152" xfId="341"/>
    <cellStyle name="Открывавшаяся гиперссылка 153" xfId="342"/>
    <cellStyle name="Открывавшаяся гиперссылка 154" xfId="343"/>
    <cellStyle name="Открывавшаяся гиперссылка 155" xfId="344"/>
    <cellStyle name="Открывавшаяся гиперссылка 156" xfId="345"/>
    <cellStyle name="Открывавшаяся гиперссылка 157" xfId="346"/>
    <cellStyle name="Открывавшаяся гиперссылка 158" xfId="347"/>
    <cellStyle name="Открывавшаяся гиперссылка 159" xfId="348"/>
    <cellStyle name="Открывавшаяся гиперссылка 16" xfId="349"/>
    <cellStyle name="Открывавшаяся гиперссылка 160" xfId="350"/>
    <cellStyle name="Открывавшаяся гиперссылка 161" xfId="351"/>
    <cellStyle name="Открывавшаяся гиперссылка 162" xfId="352"/>
    <cellStyle name="Открывавшаяся гиперссылка 163" xfId="353"/>
    <cellStyle name="Открывавшаяся гиперссылка 164" xfId="354"/>
    <cellStyle name="Открывавшаяся гиперссылка 165" xfId="355"/>
    <cellStyle name="Открывавшаяся гиперссылка 166" xfId="356"/>
    <cellStyle name="Открывавшаяся гиперссылка 167" xfId="357"/>
    <cellStyle name="Открывавшаяся гиперссылка 168" xfId="358"/>
    <cellStyle name="Открывавшаяся гиперссылка 169" xfId="359"/>
    <cellStyle name="Открывавшаяся гиперссылка 17" xfId="360"/>
    <cellStyle name="Открывавшаяся гиперссылка 170" xfId="361"/>
    <cellStyle name="Открывавшаяся гиперссылка 171" xfId="362"/>
    <cellStyle name="Открывавшаяся гиперссылка 172" xfId="363"/>
    <cellStyle name="Открывавшаяся гиперссылка 173" xfId="364"/>
    <cellStyle name="Открывавшаяся гиперссылка 174" xfId="365"/>
    <cellStyle name="Открывавшаяся гиперссылка 175" xfId="366"/>
    <cellStyle name="Открывавшаяся гиперссылка 176" xfId="367"/>
    <cellStyle name="Открывавшаяся гиперссылка 177" xfId="368"/>
    <cellStyle name="Открывавшаяся гиперссылка 178" xfId="369"/>
    <cellStyle name="Открывавшаяся гиперссылка 179" xfId="370"/>
    <cellStyle name="Открывавшаяся гиперссылка 18" xfId="371"/>
    <cellStyle name="Открывавшаяся гиперссылка 180" xfId="372"/>
    <cellStyle name="Открывавшаяся гиперссылка 181" xfId="373"/>
    <cellStyle name="Открывавшаяся гиперссылка 182" xfId="374"/>
    <cellStyle name="Открывавшаяся гиперссылка 183" xfId="375"/>
    <cellStyle name="Открывавшаяся гиперссылка 184" xfId="376"/>
    <cellStyle name="Открывавшаяся гиперссылка 185" xfId="377"/>
    <cellStyle name="Открывавшаяся гиперссылка 186" xfId="378"/>
    <cellStyle name="Открывавшаяся гиперссылка 187" xfId="379"/>
    <cellStyle name="Открывавшаяся гиперссылка 188" xfId="380"/>
    <cellStyle name="Открывавшаяся гиперссылка 189" xfId="381"/>
    <cellStyle name="Открывавшаяся гиперссылка 19" xfId="382"/>
    <cellStyle name="Открывавшаяся гиперссылка 190" xfId="383"/>
    <cellStyle name="Открывавшаяся гиперссылка 191" xfId="384"/>
    <cellStyle name="Открывавшаяся гиперссылка 192" xfId="385"/>
    <cellStyle name="Открывавшаяся гиперссылка 193" xfId="386"/>
    <cellStyle name="Открывавшаяся гиперссылка 194" xfId="387"/>
    <cellStyle name="Открывавшаяся гиперссылка 195" xfId="388"/>
    <cellStyle name="Открывавшаяся гиперссылка 196" xfId="389"/>
    <cellStyle name="Открывавшаяся гиперссылка 197" xfId="390"/>
    <cellStyle name="Открывавшаяся гиперссылка 198" xfId="391"/>
    <cellStyle name="Открывавшаяся гиперссылка 199" xfId="392"/>
    <cellStyle name="Открывавшаяся гиперссылка 2" xfId="393"/>
    <cellStyle name="Открывавшаяся гиперссылка 20" xfId="394"/>
    <cellStyle name="Открывавшаяся гиперссылка 200" xfId="395"/>
    <cellStyle name="Открывавшаяся гиперссылка 201" xfId="396"/>
    <cellStyle name="Открывавшаяся гиперссылка 202" xfId="397"/>
    <cellStyle name="Открывавшаяся гиперссылка 203" xfId="398"/>
    <cellStyle name="Открывавшаяся гиперссылка 204" xfId="399"/>
    <cellStyle name="Открывавшаяся гиперссылка 205" xfId="400"/>
    <cellStyle name="Открывавшаяся гиперссылка 206" xfId="401"/>
    <cellStyle name="Открывавшаяся гиперссылка 207" xfId="402"/>
    <cellStyle name="Открывавшаяся гиперссылка 208" xfId="403"/>
    <cellStyle name="Открывавшаяся гиперссылка 209" xfId="404"/>
    <cellStyle name="Открывавшаяся гиперссылка 21" xfId="405"/>
    <cellStyle name="Открывавшаяся гиперссылка 210" xfId="406"/>
    <cellStyle name="Открывавшаяся гиперссылка 211" xfId="407"/>
    <cellStyle name="Открывавшаяся гиперссылка 212" xfId="408"/>
    <cellStyle name="Открывавшаяся гиперссылка 213" xfId="409"/>
    <cellStyle name="Открывавшаяся гиперссылка 214" xfId="410"/>
    <cellStyle name="Открывавшаяся гиперссылка 215" xfId="411"/>
    <cellStyle name="Открывавшаяся гиперссылка 216" xfId="412"/>
    <cellStyle name="Открывавшаяся гиперссылка 217" xfId="413"/>
    <cellStyle name="Открывавшаяся гиперссылка 218" xfId="414"/>
    <cellStyle name="Открывавшаяся гиперссылка 219" xfId="415"/>
    <cellStyle name="Открывавшаяся гиперссылка 22" xfId="416"/>
    <cellStyle name="Открывавшаяся гиперссылка 220" xfId="417"/>
    <cellStyle name="Открывавшаяся гиперссылка 221" xfId="418"/>
    <cellStyle name="Открывавшаяся гиперссылка 222" xfId="419"/>
    <cellStyle name="Открывавшаяся гиперссылка 223" xfId="420"/>
    <cellStyle name="Открывавшаяся гиперссылка 224" xfId="421"/>
    <cellStyle name="Открывавшаяся гиперссылка 225" xfId="422"/>
    <cellStyle name="Открывавшаяся гиперссылка 226" xfId="423"/>
    <cellStyle name="Открывавшаяся гиперссылка 227" xfId="424"/>
    <cellStyle name="Открывавшаяся гиперссылка 228" xfId="425"/>
    <cellStyle name="Открывавшаяся гиперссылка 229" xfId="426"/>
    <cellStyle name="Открывавшаяся гиперссылка 23" xfId="427"/>
    <cellStyle name="Открывавшаяся гиперссылка 24" xfId="428"/>
    <cellStyle name="Открывавшаяся гиперссылка 25" xfId="429"/>
    <cellStyle name="Открывавшаяся гиперссылка 26" xfId="430"/>
    <cellStyle name="Открывавшаяся гиперссылка 27" xfId="431"/>
    <cellStyle name="Открывавшаяся гиперссылка 28" xfId="432"/>
    <cellStyle name="Открывавшаяся гиперссылка 29" xfId="433"/>
    <cellStyle name="Открывавшаяся гиперссылка 3" xfId="434"/>
    <cellStyle name="Открывавшаяся гиперссылка 30" xfId="435"/>
    <cellStyle name="Открывавшаяся гиперссылка 31" xfId="436"/>
    <cellStyle name="Открывавшаяся гиперссылка 32" xfId="437"/>
    <cellStyle name="Открывавшаяся гиперссылка 33" xfId="438"/>
    <cellStyle name="Открывавшаяся гиперссылка 34" xfId="439"/>
    <cellStyle name="Открывавшаяся гиперссылка 35" xfId="440"/>
    <cellStyle name="Открывавшаяся гиперссылка 36" xfId="441"/>
    <cellStyle name="Открывавшаяся гиперссылка 37" xfId="442"/>
    <cellStyle name="Открывавшаяся гиперссылка 38" xfId="443"/>
    <cellStyle name="Открывавшаяся гиперссылка 39" xfId="444"/>
    <cellStyle name="Открывавшаяся гиперссылка 4" xfId="445"/>
    <cellStyle name="Открывавшаяся гиперссылка 40" xfId="446"/>
    <cellStyle name="Открывавшаяся гиперссылка 41" xfId="447"/>
    <cellStyle name="Открывавшаяся гиперссылка 42" xfId="448"/>
    <cellStyle name="Открывавшаяся гиперссылка 43" xfId="449"/>
    <cellStyle name="Открывавшаяся гиперссылка 44" xfId="450"/>
    <cellStyle name="Открывавшаяся гиперссылка 45" xfId="451"/>
    <cellStyle name="Открывавшаяся гиперссылка 46" xfId="452"/>
    <cellStyle name="Открывавшаяся гиперссылка 47" xfId="453"/>
    <cellStyle name="Открывавшаяся гиперссылка 48" xfId="454"/>
    <cellStyle name="Открывавшаяся гиперссылка 49" xfId="455"/>
    <cellStyle name="Открывавшаяся гиперссылка 5" xfId="456"/>
    <cellStyle name="Открывавшаяся гиперссылка 50" xfId="457"/>
    <cellStyle name="Открывавшаяся гиперссылка 51" xfId="458"/>
    <cellStyle name="Открывавшаяся гиперссылка 52" xfId="459"/>
    <cellStyle name="Открывавшаяся гиперссылка 53" xfId="460"/>
    <cellStyle name="Открывавшаяся гиперссылка 54" xfId="461"/>
    <cellStyle name="Открывавшаяся гиперссылка 55" xfId="462"/>
    <cellStyle name="Открывавшаяся гиперссылка 56" xfId="463"/>
    <cellStyle name="Открывавшаяся гиперссылка 57" xfId="464"/>
    <cellStyle name="Открывавшаяся гиперссылка 58" xfId="465"/>
    <cellStyle name="Открывавшаяся гиперссылка 59" xfId="466"/>
    <cellStyle name="Открывавшаяся гиперссылка 6" xfId="467"/>
    <cellStyle name="Открывавшаяся гиперссылка 60" xfId="468"/>
    <cellStyle name="Открывавшаяся гиперссылка 61" xfId="469"/>
    <cellStyle name="Открывавшаяся гиперссылка 62" xfId="470"/>
    <cellStyle name="Открывавшаяся гиперссылка 63" xfId="471"/>
    <cellStyle name="Открывавшаяся гиперссылка 64" xfId="472"/>
    <cellStyle name="Открывавшаяся гиперссылка 65" xfId="473"/>
    <cellStyle name="Открывавшаяся гиперссылка 66" xfId="474"/>
    <cellStyle name="Открывавшаяся гиперссылка 67" xfId="475"/>
    <cellStyle name="Открывавшаяся гиперссылка 68" xfId="476"/>
    <cellStyle name="Открывавшаяся гиперссылка 69" xfId="477"/>
    <cellStyle name="Открывавшаяся гиперссылка 7" xfId="478"/>
    <cellStyle name="Открывавшаяся гиперссылка 70" xfId="479"/>
    <cellStyle name="Открывавшаяся гиперссылка 71" xfId="480"/>
    <cellStyle name="Открывавшаяся гиперссылка 72" xfId="481"/>
    <cellStyle name="Открывавшаяся гиперссылка 73" xfId="482"/>
    <cellStyle name="Открывавшаяся гиперссылка 74" xfId="483"/>
    <cellStyle name="Открывавшаяся гиперссылка 75" xfId="484"/>
    <cellStyle name="Открывавшаяся гиперссылка 76" xfId="485"/>
    <cellStyle name="Открывавшаяся гиперссылка 77" xfId="486"/>
    <cellStyle name="Открывавшаяся гиперссылка 78" xfId="487"/>
    <cellStyle name="Открывавшаяся гиперссылка 79" xfId="488"/>
    <cellStyle name="Открывавшаяся гиперссылка 8" xfId="489"/>
    <cellStyle name="Открывавшаяся гиперссылка 80" xfId="490"/>
    <cellStyle name="Открывавшаяся гиперссылка 81" xfId="491"/>
    <cellStyle name="Открывавшаяся гиперссылка 82" xfId="492"/>
    <cellStyle name="Открывавшаяся гиперссылка 83" xfId="493"/>
    <cellStyle name="Открывавшаяся гиперссылка 84" xfId="494"/>
    <cellStyle name="Открывавшаяся гиперссылка 85" xfId="495"/>
    <cellStyle name="Открывавшаяся гиперссылка 86" xfId="496"/>
    <cellStyle name="Открывавшаяся гиперссылка 87" xfId="497"/>
    <cellStyle name="Открывавшаяся гиперссылка 88" xfId="498"/>
    <cellStyle name="Открывавшаяся гиперссылка 89" xfId="499"/>
    <cellStyle name="Открывавшаяся гиперссылка 9" xfId="500"/>
    <cellStyle name="Открывавшаяся гиперссылка 90" xfId="501"/>
    <cellStyle name="Открывавшаяся гиперссылка 91" xfId="502"/>
    <cellStyle name="Открывавшаяся гиперссылка 92" xfId="503"/>
    <cellStyle name="Открывавшаяся гиперссылка 93" xfId="504"/>
    <cellStyle name="Открывавшаяся гиперссылка 94" xfId="505"/>
    <cellStyle name="Открывавшаяся гиперссылка 95" xfId="506"/>
    <cellStyle name="Открывавшаяся гиперссылка 96" xfId="507"/>
    <cellStyle name="Открывавшаяся гиперссылка 97" xfId="508"/>
    <cellStyle name="Открывавшаяся гиперссылка 98" xfId="509"/>
    <cellStyle name="Открывавшаяся гиперссылка 99" xfId="510"/>
    <cellStyle name="Плохой 2" xfId="511"/>
    <cellStyle name="Пояснение 2" xfId="512"/>
    <cellStyle name="Примечание 2" xfId="513"/>
    <cellStyle name="Примечание 3" xfId="514"/>
    <cellStyle name="Процентный 2" xfId="515"/>
    <cellStyle name="Процентный 3" xfId="516"/>
    <cellStyle name="Процентный 4" xfId="517"/>
    <cellStyle name="Связанная ячейка 2" xfId="518"/>
    <cellStyle name="Стиль 1" xfId="519"/>
    <cellStyle name="Текст предупреждения 2" xfId="520"/>
    <cellStyle name="Тысячи [0]_Chart1 (Sales &amp; Costs)" xfId="521"/>
    <cellStyle name="Тысячи_Chart1 (Sales &amp; Costs)" xfId="522"/>
    <cellStyle name="Финансовый" xfId="523" builtinId="3"/>
    <cellStyle name="Финансовый 2" xfId="524"/>
    <cellStyle name="Финансовый 3" xfId="525"/>
    <cellStyle name="Финансовый 4" xfId="526"/>
    <cellStyle name="Хороший 2" xfId="527"/>
  </cellStyles>
  <dxfs count="0"/>
  <tableStyles count="0" defaultTableStyle="TableStyleMedium2" defaultPivotStyle="PivotStyleMedium9"/>
  <colors>
    <mruColors>
      <color rgb="FFFFC30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_zavadskiy/AppData/Local/Microsoft/Windows/Temporary%20Internet%20Files/Content.Outlook/SDNH6BJK/&#1055;&#1088;&#1080;&#1083;&#1086;&#1078;&#1077;&#1085;&#1080;&#1077;_1-&#1055;&#1088;&#1086;&#1075;&#1088;&#1072;&#1084;&#1084;&#1072;%20&#1075;&#1072;&#1079;&#1080;&#1092;&#1080;&#1082;&#1072;&#1094;&#1080;&#1080;%20&#1082;&#1086;&#1088;%2019.05.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42;\&#1052;&#1080;&#1096;&#1080;&#1085;&#1072;\2020\&#1054;&#1090;&#1095;&#1077;&#1090;&#1099;\&#1045;&#1078;&#1077;&#1084;&#1077;&#1089;&#1103;&#1095;&#1085;&#1099;&#1077;%20&#1086;&#1090;&#1095;&#1077;&#1090;&#1099;%20&#1074;%20&#1052;&#1056;&#1043;%20&#1087;&#1086;%20&#1080;&#1089;&#1087;&#1086;&#1083;&#1100;&#1079;&#1086;&#1074;&#1072;&#1085;&#1080;&#1102;%20&#1089;&#1087;&#1077;&#1094;&#1085;&#1072;&#1076;&#1073;&#1072;&#1074;&#1082;&#1080;\12%20-%20&#1076;&#1077;&#1082;&#1072;&#1073;&#1088;&#1100;\2021.02.04\&#1048;&#1085;&#1092;&#1086;&#1088;&#1084;&#1072;&#1094;&#1080;&#1103;%20&#1087;&#1086;%20&#1080;&#1089;&#1087;&#1086;&#1083;&#1100;&#1079;&#1086;&#1074;&#1072;&#1085;&#1080;&#1102;%20&#1089;&#1087;&#1077;&#1094;&#1085;&#1072;&#1076;&#1073;&#1072;&#1074;&#1082;&#1080;%20&#1089;%20&#1103;&#1085;&#1074;&#1072;&#1088;&#1103;%20&#1087;&#1086;%20&#1076;&#1077;&#1082;&#1072;&#1073;&#1088;&#1100;%202020%20&#1075;.%2004.0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zrukova_nv/AppData/Local/Microsoft/Windows/Temporary%20Internet%20Files/Content.Outlook/U0Q7BT3T/!!!%2006.11.2018%20&#1056;&#1072;&#1089;&#1095;&#1077;&#1090;%20&#1101;&#1082;.&#1101;&#1092;&#1092;&#1077;&#1082;&#1090;&#1080;&#1074;&#1085;&#1086;&#1089;&#1090;&#1080;%20-%20&#1057;&#1087;&#1077;&#1094;.%20&#1089;%20&#1076;&#1072;&#1085;&#1085;&#1099;&#1084;&#1080;%20&#1041;&#1044;&#105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zrukova_nv/Desktop/&#1055;&#1050;&#1042;/&#1055;&#1050;&#1042;%202020/&#1055;&#1088;&#1080;&#1083;&#1086;&#1078;&#1077;&#1085;&#1080;&#1077;_1-&#1055;&#1088;&#1086;&#1075;&#1088;&#1072;&#1084;&#1084;&#1072;%20&#1075;&#1072;&#1079;&#1080;&#1092;&#1080;&#1082;&#1072;&#1094;&#1080;&#1080;%20&#1082;&#1086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zrukova_nv/Desktop/&#1055;&#1050;&#1042;/15.11.18/&#1057;&#1087;&#1077;&#1094;&#1053;&#1072;&#1076;&#1073;&#1072;&#1074;&#1082;&#1072;%202019-2023%20&#1086;&#1090;%2006%2011%202018+&#1072;&#1084;&#1086;&#1088;&#1090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-2023 кор.19.05.20"/>
    </sheetNames>
    <sheetDataSet>
      <sheetData sheetId="0">
        <row r="89">
          <cell r="D89">
            <v>5184</v>
          </cell>
          <cell r="E89">
            <v>14010.26</v>
          </cell>
          <cell r="F89">
            <v>39.4056</v>
          </cell>
          <cell r="G89">
            <v>27.62</v>
          </cell>
          <cell r="H89">
            <v>221675.55782000002</v>
          </cell>
          <cell r="I89">
            <v>204015.55000000002</v>
          </cell>
          <cell r="J89">
            <v>4408.6268300000002</v>
          </cell>
          <cell r="K89">
            <v>13251.38099</v>
          </cell>
          <cell r="L89">
            <v>0</v>
          </cell>
        </row>
        <row r="90">
          <cell r="D90">
            <v>1429</v>
          </cell>
          <cell r="E90">
            <v>7275</v>
          </cell>
          <cell r="F90">
            <v>0</v>
          </cell>
          <cell r="G90">
            <v>0</v>
          </cell>
          <cell r="H90">
            <v>73561.152360000007</v>
          </cell>
          <cell r="I90">
            <v>0</v>
          </cell>
          <cell r="J90">
            <v>7000</v>
          </cell>
          <cell r="K90">
            <v>66561.152360000007</v>
          </cell>
        </row>
        <row r="91">
          <cell r="D91">
            <v>842</v>
          </cell>
          <cell r="E91">
            <v>1100</v>
          </cell>
          <cell r="F91">
            <v>2.89</v>
          </cell>
          <cell r="G91">
            <v>0.5</v>
          </cell>
          <cell r="H91">
            <v>2450</v>
          </cell>
          <cell r="I91">
            <v>0</v>
          </cell>
          <cell r="J91">
            <v>800</v>
          </cell>
          <cell r="K91">
            <v>1650</v>
          </cell>
        </row>
        <row r="92">
          <cell r="D92">
            <v>0</v>
          </cell>
          <cell r="E92">
            <v>1423.2439999999999</v>
          </cell>
          <cell r="F92">
            <v>3.3370000000000002</v>
          </cell>
          <cell r="G92">
            <v>12.379999999999999</v>
          </cell>
          <cell r="H92">
            <v>37858</v>
          </cell>
          <cell r="I92">
            <v>0</v>
          </cell>
          <cell r="J92">
            <v>12800</v>
          </cell>
          <cell r="K92">
            <v>25058</v>
          </cell>
        </row>
        <row r="93">
          <cell r="D93">
            <v>0</v>
          </cell>
          <cell r="E93">
            <v>0</v>
          </cell>
          <cell r="F93">
            <v>8.5299999999999994</v>
          </cell>
          <cell r="G93">
            <v>0</v>
          </cell>
          <cell r="H93">
            <v>20000</v>
          </cell>
          <cell r="I93">
            <v>0</v>
          </cell>
          <cell r="J93">
            <v>0</v>
          </cell>
          <cell r="K93">
            <v>20000</v>
          </cell>
        </row>
        <row r="108">
          <cell r="D108">
            <v>745</v>
          </cell>
          <cell r="E108">
            <v>1418.9099999999999</v>
          </cell>
          <cell r="F108">
            <v>11.86</v>
          </cell>
          <cell r="G108">
            <v>31</v>
          </cell>
          <cell r="H108">
            <v>5812.5</v>
          </cell>
          <cell r="I108">
            <v>0</v>
          </cell>
          <cell r="J108">
            <v>5812.5</v>
          </cell>
          <cell r="K108">
            <v>0</v>
          </cell>
          <cell r="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68300</v>
          </cell>
          <cell r="I109">
            <v>0</v>
          </cell>
          <cell r="J109">
            <v>6000</v>
          </cell>
          <cell r="K109">
            <v>62300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48482</v>
          </cell>
          <cell r="I110">
            <v>0</v>
          </cell>
          <cell r="J110">
            <v>0</v>
          </cell>
          <cell r="K110">
            <v>48482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2750</v>
          </cell>
          <cell r="E140">
            <v>9909.67</v>
          </cell>
          <cell r="F140">
            <v>29.36</v>
          </cell>
          <cell r="G140">
            <v>20.399999999999999</v>
          </cell>
          <cell r="H140">
            <v>3000</v>
          </cell>
          <cell r="I140">
            <v>0</v>
          </cell>
          <cell r="J140">
            <v>4500</v>
          </cell>
          <cell r="K140">
            <v>0</v>
          </cell>
        </row>
        <row r="141">
          <cell r="D141">
            <v>148</v>
          </cell>
          <cell r="E141">
            <v>0</v>
          </cell>
          <cell r="F141">
            <v>0</v>
          </cell>
          <cell r="G141">
            <v>0</v>
          </cell>
          <cell r="H141">
            <v>29500</v>
          </cell>
          <cell r="I141">
            <v>0</v>
          </cell>
          <cell r="J141">
            <v>9008</v>
          </cell>
          <cell r="K141">
            <v>30300</v>
          </cell>
        </row>
        <row r="142">
          <cell r="D142">
            <v>0</v>
          </cell>
          <cell r="E142">
            <v>207.535</v>
          </cell>
          <cell r="F142">
            <v>0.4199</v>
          </cell>
          <cell r="G142">
            <v>4</v>
          </cell>
          <cell r="H142">
            <v>38374.550000000003</v>
          </cell>
          <cell r="I142">
            <v>0</v>
          </cell>
          <cell r="J142">
            <v>3000</v>
          </cell>
          <cell r="K142">
            <v>40374.550000000003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6000</v>
          </cell>
          <cell r="I143">
            <v>0</v>
          </cell>
          <cell r="J143">
            <v>0</v>
          </cell>
          <cell r="K143">
            <v>6000</v>
          </cell>
        </row>
        <row r="152">
          <cell r="D152">
            <v>25</v>
          </cell>
          <cell r="E152">
            <v>202.8</v>
          </cell>
          <cell r="F152">
            <v>0.27</v>
          </cell>
          <cell r="G152">
            <v>3.15</v>
          </cell>
          <cell r="H152">
            <v>12878.516</v>
          </cell>
          <cell r="I152">
            <v>4337.45</v>
          </cell>
          <cell r="J152">
            <v>0</v>
          </cell>
          <cell r="K152">
            <v>8541.0660000000007</v>
          </cell>
          <cell r="L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201">
          <cell r="D201">
            <v>1511</v>
          </cell>
          <cell r="E201">
            <v>2157.61</v>
          </cell>
          <cell r="F201">
            <v>5.45</v>
          </cell>
          <cell r="G201">
            <v>21.599999999999998</v>
          </cell>
          <cell r="H201">
            <v>14897.900000000001</v>
          </cell>
          <cell r="I201">
            <v>2049.3000000000002</v>
          </cell>
          <cell r="J201">
            <v>4443.3100000000004</v>
          </cell>
          <cell r="K201">
            <v>8405.2900000000009</v>
          </cell>
          <cell r="L201">
            <v>0</v>
          </cell>
        </row>
        <row r="202">
          <cell r="D202">
            <v>680</v>
          </cell>
          <cell r="E202">
            <v>931.08100000000002</v>
          </cell>
          <cell r="F202">
            <v>2.2430000000000003</v>
          </cell>
          <cell r="G202">
            <v>12.4</v>
          </cell>
          <cell r="H202">
            <v>42119.38</v>
          </cell>
          <cell r="I202">
            <v>0</v>
          </cell>
          <cell r="J202">
            <v>7200</v>
          </cell>
          <cell r="K202">
            <v>34919.379999999997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34682.5</v>
          </cell>
          <cell r="I203">
            <v>0</v>
          </cell>
          <cell r="J203">
            <v>6074.27</v>
          </cell>
          <cell r="K203">
            <v>28608.23</v>
          </cell>
        </row>
        <row r="204">
          <cell r="D204">
            <v>116</v>
          </cell>
          <cell r="E204">
            <v>162.661</v>
          </cell>
          <cell r="F204">
            <v>0.37889999999999996</v>
          </cell>
          <cell r="G204">
            <v>5.5</v>
          </cell>
          <cell r="H204">
            <v>16782.330000000002</v>
          </cell>
          <cell r="I204">
            <v>0</v>
          </cell>
          <cell r="J204">
            <v>10282.33</v>
          </cell>
          <cell r="K204">
            <v>6500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15105.51</v>
          </cell>
          <cell r="I205">
            <v>0</v>
          </cell>
          <cell r="J205">
            <v>0</v>
          </cell>
          <cell r="K205">
            <v>15105.51</v>
          </cell>
        </row>
        <row r="220">
          <cell r="D220">
            <v>616</v>
          </cell>
          <cell r="E220">
            <v>1618.0800000000002</v>
          </cell>
          <cell r="F220">
            <v>2.58</v>
          </cell>
          <cell r="G220">
            <v>15.64</v>
          </cell>
          <cell r="H220">
            <v>11651.58</v>
          </cell>
          <cell r="I220">
            <v>0</v>
          </cell>
          <cell r="J220">
            <v>5924.73</v>
          </cell>
          <cell r="K220">
            <v>5726.85</v>
          </cell>
          <cell r="L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26000.16</v>
          </cell>
          <cell r="I221">
            <v>0</v>
          </cell>
          <cell r="J221">
            <v>2000</v>
          </cell>
          <cell r="K221">
            <v>24000.16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3200</v>
          </cell>
          <cell r="I222">
            <v>0</v>
          </cell>
          <cell r="J222">
            <v>0</v>
          </cell>
          <cell r="K222">
            <v>3200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D237">
            <v>92</v>
          </cell>
          <cell r="E237">
            <v>129.01</v>
          </cell>
          <cell r="F237">
            <v>0.3</v>
          </cell>
          <cell r="G237">
            <v>3.5</v>
          </cell>
          <cell r="H237">
            <v>21000</v>
          </cell>
          <cell r="I237">
            <v>0</v>
          </cell>
          <cell r="J237">
            <v>6300</v>
          </cell>
          <cell r="K237">
            <v>14700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D247">
            <v>174</v>
          </cell>
          <cell r="E247">
            <v>258.3</v>
          </cell>
          <cell r="F247">
            <v>2.8</v>
          </cell>
          <cell r="G247">
            <v>3.8</v>
          </cell>
          <cell r="H247">
            <v>2000</v>
          </cell>
          <cell r="I247">
            <v>0</v>
          </cell>
          <cell r="J247">
            <v>2000</v>
          </cell>
          <cell r="K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17500</v>
          </cell>
          <cell r="I248">
            <v>0</v>
          </cell>
          <cell r="J248">
            <v>2500</v>
          </cell>
          <cell r="K248">
            <v>15000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1212.1199999999999</v>
          </cell>
          <cell r="I249">
            <v>0</v>
          </cell>
          <cell r="J249">
            <v>0</v>
          </cell>
          <cell r="K249">
            <v>1212.1199999999999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01">
          <cell r="D301">
            <v>565</v>
          </cell>
          <cell r="E301">
            <v>28016.690000000002</v>
          </cell>
          <cell r="F301">
            <v>70.7</v>
          </cell>
          <cell r="G301">
            <v>18.350000000000001</v>
          </cell>
          <cell r="H301">
            <v>106456.14397</v>
          </cell>
          <cell r="I301">
            <v>1797.28</v>
          </cell>
          <cell r="J301">
            <v>12232.679759999999</v>
          </cell>
          <cell r="K301">
            <v>92426.184209999992</v>
          </cell>
          <cell r="L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84117.690199999997</v>
          </cell>
          <cell r="I302">
            <v>0</v>
          </cell>
          <cell r="J302">
            <v>0</v>
          </cell>
          <cell r="K302">
            <v>84117.690199999997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D304">
            <v>842</v>
          </cell>
          <cell r="E304">
            <v>1180.6503</v>
          </cell>
          <cell r="F304">
            <v>4.3899999999999997</v>
          </cell>
          <cell r="G304">
            <v>17.62</v>
          </cell>
          <cell r="H304">
            <v>18500</v>
          </cell>
          <cell r="I304">
            <v>0</v>
          </cell>
          <cell r="J304">
            <v>18500</v>
          </cell>
          <cell r="K304">
            <v>0</v>
          </cell>
        </row>
        <row r="305">
          <cell r="D305">
            <v>150</v>
          </cell>
          <cell r="E305">
            <v>208.57</v>
          </cell>
          <cell r="F305">
            <v>0.42</v>
          </cell>
          <cell r="G305">
            <v>8.5</v>
          </cell>
          <cell r="H305">
            <v>78560.899999999994</v>
          </cell>
          <cell r="I305">
            <v>0</v>
          </cell>
          <cell r="J305">
            <v>8200</v>
          </cell>
          <cell r="K305">
            <v>70360.899999999994</v>
          </cell>
        </row>
        <row r="326">
          <cell r="D326">
            <v>937</v>
          </cell>
          <cell r="E326">
            <v>913.66</v>
          </cell>
          <cell r="F326">
            <v>2.5649999999999999</v>
          </cell>
          <cell r="G326">
            <v>14</v>
          </cell>
          <cell r="H326">
            <v>5300.74</v>
          </cell>
          <cell r="I326">
            <v>0</v>
          </cell>
          <cell r="J326">
            <v>5300.74</v>
          </cell>
          <cell r="K326">
            <v>0</v>
          </cell>
          <cell r="L326">
            <v>0</v>
          </cell>
        </row>
        <row r="327">
          <cell r="D327">
            <v>730</v>
          </cell>
          <cell r="E327">
            <v>1146.1999999999998</v>
          </cell>
          <cell r="F327">
            <v>3.9569999999999999</v>
          </cell>
          <cell r="G327">
            <v>6.9</v>
          </cell>
          <cell r="H327">
            <v>118064.19559</v>
          </cell>
          <cell r="I327">
            <v>1.6255900000000001</v>
          </cell>
          <cell r="J327">
            <v>10512.57</v>
          </cell>
          <cell r="K327">
            <v>107550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8850</v>
          </cell>
          <cell r="I328">
            <v>0</v>
          </cell>
          <cell r="J328">
            <v>1900</v>
          </cell>
          <cell r="K328">
            <v>6950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11000</v>
          </cell>
          <cell r="I329">
            <v>0</v>
          </cell>
          <cell r="J329">
            <v>0</v>
          </cell>
          <cell r="K329">
            <v>11000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E341">
            <v>687.9</v>
          </cell>
          <cell r="F341">
            <v>1.0960000000000001</v>
          </cell>
          <cell r="G341">
            <v>12.15</v>
          </cell>
          <cell r="H341">
            <v>49100</v>
          </cell>
          <cell r="I341">
            <v>0</v>
          </cell>
          <cell r="J341">
            <v>3100</v>
          </cell>
          <cell r="K341">
            <v>46000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58">
          <cell r="D358">
            <v>70</v>
          </cell>
          <cell r="E358">
            <v>78.3</v>
          </cell>
          <cell r="F358">
            <v>0.49</v>
          </cell>
          <cell r="G358">
            <v>2.5</v>
          </cell>
          <cell r="H358">
            <v>1399.75118</v>
          </cell>
          <cell r="I358">
            <v>0</v>
          </cell>
          <cell r="J358">
            <v>1399.75118</v>
          </cell>
          <cell r="K358">
            <v>0</v>
          </cell>
          <cell r="L358">
            <v>0</v>
          </cell>
        </row>
        <row r="359">
          <cell r="D359">
            <v>89</v>
          </cell>
          <cell r="E359">
            <v>718</v>
          </cell>
          <cell r="F359">
            <v>1.72</v>
          </cell>
          <cell r="G359">
            <v>2.5</v>
          </cell>
          <cell r="H359">
            <v>16906.099999999999</v>
          </cell>
          <cell r="I359">
            <v>0</v>
          </cell>
          <cell r="J359">
            <v>4406.1000000000004</v>
          </cell>
          <cell r="K359">
            <v>12500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D378">
            <v>2206</v>
          </cell>
          <cell r="E378">
            <v>2509.59</v>
          </cell>
          <cell r="F378">
            <v>6.3</v>
          </cell>
          <cell r="G378">
            <v>7</v>
          </cell>
          <cell r="H378">
            <v>7800</v>
          </cell>
          <cell r="I378">
            <v>0</v>
          </cell>
          <cell r="J378">
            <v>7800</v>
          </cell>
          <cell r="K378">
            <v>0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27000</v>
          </cell>
          <cell r="I379">
            <v>0</v>
          </cell>
          <cell r="J379">
            <v>0</v>
          </cell>
          <cell r="K379">
            <v>27000</v>
          </cell>
        </row>
        <row r="380">
          <cell r="D380">
            <v>55</v>
          </cell>
          <cell r="E380">
            <v>77.124000000000009</v>
          </cell>
          <cell r="F380">
            <v>0.18079999999999999</v>
          </cell>
          <cell r="G380">
            <v>2.5</v>
          </cell>
          <cell r="H380">
            <v>5000</v>
          </cell>
          <cell r="I380">
            <v>0</v>
          </cell>
          <cell r="J380">
            <v>3000</v>
          </cell>
          <cell r="K380">
            <v>2000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8000</v>
          </cell>
          <cell r="I381">
            <v>0</v>
          </cell>
          <cell r="J381">
            <v>0</v>
          </cell>
          <cell r="K381">
            <v>8000</v>
          </cell>
        </row>
        <row r="438">
          <cell r="D438">
            <v>536</v>
          </cell>
          <cell r="E438">
            <v>18141.04</v>
          </cell>
          <cell r="F438">
            <v>35.26</v>
          </cell>
          <cell r="G438">
            <v>11.450000000000001</v>
          </cell>
          <cell r="H438">
            <v>61386.773999999998</v>
          </cell>
          <cell r="I438">
            <v>4865.67</v>
          </cell>
          <cell r="J438">
            <v>2202.5839999999998</v>
          </cell>
          <cell r="K438">
            <v>54318.520000000004</v>
          </cell>
          <cell r="L438">
            <v>0</v>
          </cell>
        </row>
        <row r="439">
          <cell r="D439">
            <v>500</v>
          </cell>
          <cell r="E439">
            <v>144</v>
          </cell>
          <cell r="F439">
            <v>0.92020000000000002</v>
          </cell>
          <cell r="G439">
            <v>34</v>
          </cell>
          <cell r="H439">
            <v>28100.639999999999</v>
          </cell>
          <cell r="I439">
            <v>0</v>
          </cell>
          <cell r="J439">
            <v>11855</v>
          </cell>
          <cell r="K439">
            <v>16245.640000000001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93697</v>
          </cell>
          <cell r="I440">
            <v>0</v>
          </cell>
          <cell r="J440">
            <v>2697</v>
          </cell>
          <cell r="K440">
            <v>91000</v>
          </cell>
        </row>
        <row r="441">
          <cell r="D441">
            <v>680</v>
          </cell>
          <cell r="E441">
            <v>796.48720000000003</v>
          </cell>
          <cell r="F441">
            <v>1.8668</v>
          </cell>
          <cell r="G441">
            <v>18.5</v>
          </cell>
          <cell r="H441">
            <v>31940.309999999998</v>
          </cell>
          <cell r="I441">
            <v>0</v>
          </cell>
          <cell r="J441">
            <v>16817</v>
          </cell>
          <cell r="K441">
            <v>15123.31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71250</v>
          </cell>
          <cell r="I442">
            <v>0</v>
          </cell>
          <cell r="J442">
            <v>0</v>
          </cell>
          <cell r="K442">
            <v>71250</v>
          </cell>
        </row>
        <row r="444">
          <cell r="L444">
            <v>2681.6648100000002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"/>
      <sheetName val="86.01"/>
      <sheetName val="08.03 декабрь"/>
      <sheetName val="08.03 год"/>
    </sheetNames>
    <sheetDataSet>
      <sheetData sheetId="0">
        <row r="11">
          <cell r="I11">
            <v>94911.41516000015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 МРГ спецнадб"/>
      <sheetName val="БДР"/>
      <sheetName val="тарифы"/>
      <sheetName val="Объекты спецнадб"/>
      <sheetName val="Расчет шаблон"/>
      <sheetName val="Новая ЛадогаВВОД"/>
      <sheetName val="Лист3"/>
      <sheetName val="Лист4"/>
      <sheetName val="Храм Илии"/>
      <sheetName val="Ненимяки"/>
      <sheetName val="Васкелово"/>
      <sheetName val="Живой ручей_нет 2018"/>
      <sheetName val="Ст.Осельки,ул.ПривокзальнаяВВОД"/>
      <sheetName val="Кавголово-РапполовоВВОД1кв17"/>
      <sheetName val="д.Осельки-ХиттоловоВВОД"/>
      <sheetName val="Энколово-КапитоловоВВОД 2017"/>
      <sheetName val="ПорошкиноВВОД_ПЛАН"/>
      <sheetName val="Рощино_нет 2018"/>
      <sheetName val="Святителя Николая"/>
      <sheetName val="ЛенинскоеВВОД_ПЛАН"/>
      <sheetName val="Горки-ЛукашиВВОД"/>
      <sheetName val="Орлино_нет 2018"/>
      <sheetName val="Нанотехнол.центрВВОД_ПЛАН"/>
      <sheetName val="ЛебяжьеВВОД2016"/>
      <sheetName val="КипеньВВОД"/>
      <sheetName val="Лаголово-2-Телези"/>
      <sheetName val="Ракопежи-КовашиВВОД1кв17"/>
      <sheetName val="Ретюнь (1 этап)ВВОД_ПЛАН"/>
      <sheetName val="МежозерныйВВОД_ПЛАН"/>
      <sheetName val="Оредеж-Почап"/>
      <sheetName val="ТолмачевоВВОД"/>
      <sheetName val="МО РФ Луга (ЦАОК)ВВОД_ПЛАН"/>
      <sheetName val="Луга-ДзержинскогоВВОД"/>
      <sheetName val="Цемент-ВыскаткаНЕТ_затр2017"/>
      <sheetName val="Никольское-Пустынка"/>
      <sheetName val="Ретюнь-СеребрянскийИСКЛ."/>
      <sheetName val="Строение-Усадище_нет в 2017"/>
      <sheetName val="Форносово-Поги"/>
      <sheetName val="Шоссейная-Федоровское"/>
      <sheetName val="Сойкино (амортизация)ВВОД_ПЛАН"/>
      <sheetName val="ГРП СПб"/>
      <sheetName val="Красная зорька"/>
      <sheetName val="Порошкино"/>
      <sheetName val="Борисова грива"/>
      <sheetName val="Старая ладога"/>
      <sheetName val="Рыжково"/>
      <sheetName val="Сосницы"/>
      <sheetName val="Курковицы"/>
      <sheetName val="Мирошниковская"/>
      <sheetName val="Комарова"/>
      <sheetName val="Веккелево"/>
      <sheetName val="Вырица Космонавтов"/>
      <sheetName val="Вырица Хвалынская"/>
      <sheetName val="Высокоключевой"/>
      <sheetName val="Мыза-иавановка"/>
      <sheetName val="Мариенбург"/>
      <sheetName val="Синявино"/>
      <sheetName val="Порхово"/>
      <sheetName val="Лист1"/>
      <sheetName val="сравнение утв-кор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8">
          <cell r="F48">
            <v>1.50972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8">
          <cell r="AQ18">
            <v>-323.47771141047764</v>
          </cell>
        </row>
      </sheetData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г"/>
      <sheetName val="2019 кор. дек. 19"/>
      <sheetName val="2019 кор. дек. 19 (2)"/>
      <sheetName val="2019 кор. дек. 19 с глебычево"/>
      <sheetName val="для ДГ"/>
      <sheetName val="для ДГ на 2019"/>
      <sheetName val="план-график"/>
      <sheetName val="Лист1"/>
      <sheetName val="2019 г (2)"/>
      <sheetName val="финансирование изм"/>
      <sheetName val="финансирование изм (2)"/>
    </sheetNames>
    <sheetDataSet>
      <sheetData sheetId="0">
        <row r="36">
          <cell r="J36">
            <v>0</v>
          </cell>
        </row>
        <row r="37">
          <cell r="K37">
            <v>0</v>
          </cell>
        </row>
        <row r="138">
          <cell r="J138">
            <v>0</v>
          </cell>
        </row>
        <row r="139">
          <cell r="K139">
            <v>0</v>
          </cell>
        </row>
        <row r="182">
          <cell r="K182">
            <v>0</v>
          </cell>
        </row>
        <row r="200">
          <cell r="J200">
            <v>0</v>
          </cell>
        </row>
        <row r="236">
          <cell r="K236">
            <v>0</v>
          </cell>
        </row>
        <row r="242">
          <cell r="J242">
            <v>0</v>
          </cell>
          <cell r="K242">
            <v>0</v>
          </cell>
        </row>
        <row r="262">
          <cell r="J262">
            <v>0</v>
          </cell>
        </row>
        <row r="263">
          <cell r="K263">
            <v>0</v>
          </cell>
        </row>
        <row r="265">
          <cell r="K265">
            <v>0</v>
          </cell>
        </row>
        <row r="298">
          <cell r="K298">
            <v>0</v>
          </cell>
        </row>
        <row r="330">
          <cell r="J330">
            <v>0</v>
          </cell>
        </row>
        <row r="331">
          <cell r="K331">
            <v>0</v>
          </cell>
        </row>
        <row r="341">
          <cell r="J341">
            <v>0</v>
          </cell>
          <cell r="K341">
            <v>0</v>
          </cell>
        </row>
        <row r="342">
          <cell r="K34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 и все"/>
      <sheetName val="программа"/>
      <sheetName val="для ДГ"/>
      <sheetName val="2019 г"/>
      <sheetName val="Лист1"/>
    </sheetNames>
    <sheetDataSet>
      <sheetData sheetId="0"/>
      <sheetData sheetId="1">
        <row r="70">
          <cell r="J70">
            <v>0</v>
          </cell>
        </row>
        <row r="71">
          <cell r="K71">
            <v>0</v>
          </cell>
        </row>
        <row r="219">
          <cell r="J219">
            <v>0</v>
          </cell>
          <cell r="K219">
            <v>0</v>
          </cell>
        </row>
        <row r="243">
          <cell r="J243">
            <v>0</v>
          </cell>
        </row>
        <row r="258">
          <cell r="J258">
            <v>0</v>
          </cell>
          <cell r="K258">
            <v>0</v>
          </cell>
        </row>
        <row r="259">
          <cell r="K259">
            <v>0</v>
          </cell>
        </row>
        <row r="262">
          <cell r="J262">
            <v>0</v>
          </cell>
        </row>
      </sheetData>
      <sheetData sheetId="2"/>
      <sheetData sheetId="3">
        <row r="57">
          <cell r="G57">
            <v>12</v>
          </cell>
        </row>
        <row r="84">
          <cell r="J84">
            <v>0</v>
          </cell>
        </row>
        <row r="295">
          <cell r="K29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6" sqref="A6"/>
    </sheetView>
  </sheetViews>
  <sheetFormatPr defaultRowHeight="15" x14ac:dyDescent="0.25"/>
  <cols>
    <col min="5" max="10" width="12" bestFit="1" customWidth="1"/>
  </cols>
  <sheetData>
    <row r="1" spans="1:10" x14ac:dyDescent="0.25">
      <c r="A1">
        <v>10129</v>
      </c>
      <c r="B1">
        <v>66518.470000000016</v>
      </c>
      <c r="C1">
        <v>168.48060000000001</v>
      </c>
      <c r="D1">
        <v>144.01000000000002</v>
      </c>
      <c r="E1">
        <v>441459.46296999999</v>
      </c>
      <c r="F1">
        <v>217065.25000000003</v>
      </c>
      <c r="G1">
        <v>41724.921770000001</v>
      </c>
      <c r="H1">
        <v>182669.29119999998</v>
      </c>
      <c r="I1">
        <v>2681.6648100000002</v>
      </c>
      <c r="J1">
        <v>227075.87777999998</v>
      </c>
    </row>
    <row r="2" spans="1:10" x14ac:dyDescent="0.25">
      <c r="A2">
        <v>7129</v>
      </c>
      <c r="B2">
        <v>15616.841</v>
      </c>
      <c r="C2">
        <v>47.300199999999997</v>
      </c>
      <c r="D2">
        <v>87</v>
      </c>
      <c r="E2">
        <v>469969.31815000001</v>
      </c>
      <c r="F2">
        <v>1.6255900000000001</v>
      </c>
      <c r="G2">
        <v>63273.67</v>
      </c>
      <c r="H2">
        <v>408194.02256000001</v>
      </c>
      <c r="I2">
        <v>25036.959999999999</v>
      </c>
      <c r="J2">
        <v>496504.65256000002</v>
      </c>
    </row>
    <row r="3" spans="1:10" x14ac:dyDescent="0.25">
      <c r="A3">
        <v>990</v>
      </c>
      <c r="B3">
        <v>1787.9</v>
      </c>
      <c r="C3">
        <v>3.9860000000000002</v>
      </c>
      <c r="D3">
        <v>12.65</v>
      </c>
      <c r="E3">
        <v>314461.5</v>
      </c>
      <c r="F3">
        <v>0</v>
      </c>
      <c r="G3">
        <v>26079.27</v>
      </c>
      <c r="H3">
        <v>298190.23</v>
      </c>
      <c r="I3">
        <v>85000</v>
      </c>
      <c r="J3">
        <v>409269.5</v>
      </c>
    </row>
    <row r="4" spans="1:10" x14ac:dyDescent="0.25">
      <c r="A4">
        <v>1693</v>
      </c>
      <c r="B4">
        <v>3847.7014999999997</v>
      </c>
      <c r="C4">
        <v>10.573399999999999</v>
      </c>
      <c r="D4">
        <v>60.5</v>
      </c>
      <c r="E4">
        <v>160667.31</v>
      </c>
      <c r="F4">
        <v>0</v>
      </c>
      <c r="G4">
        <v>64399.33</v>
      </c>
      <c r="H4">
        <v>101267.98</v>
      </c>
      <c r="I4">
        <v>95000</v>
      </c>
      <c r="J4">
        <v>260667.31</v>
      </c>
    </row>
    <row r="5" spans="1:10" x14ac:dyDescent="0.25">
      <c r="A5">
        <v>242</v>
      </c>
      <c r="B5">
        <v>337.58</v>
      </c>
      <c r="C5">
        <v>9.25</v>
      </c>
      <c r="D5">
        <v>12</v>
      </c>
      <c r="E5">
        <v>219916.41</v>
      </c>
      <c r="F5">
        <v>0</v>
      </c>
      <c r="G5">
        <v>14500</v>
      </c>
      <c r="H5">
        <v>205416.41</v>
      </c>
      <c r="I5">
        <v>105000</v>
      </c>
      <c r="J5">
        <v>324916.41000000003</v>
      </c>
    </row>
    <row r="6" spans="1:10" x14ac:dyDescent="0.25">
      <c r="A6">
        <v>20183</v>
      </c>
      <c r="B6">
        <v>88108.492500000008</v>
      </c>
      <c r="C6">
        <v>239.59019999999998</v>
      </c>
      <c r="D6">
        <v>316.16000000000003</v>
      </c>
      <c r="E6">
        <v>1606474.0011199999</v>
      </c>
      <c r="F6">
        <v>217066.87559000004</v>
      </c>
      <c r="G6">
        <v>209977.19176999998</v>
      </c>
      <c r="H6">
        <v>1195737.9337599999</v>
      </c>
      <c r="I6">
        <v>312718.62481000001</v>
      </c>
      <c r="J6">
        <v>1718433.7503400003</v>
      </c>
    </row>
    <row r="8" spans="1:10" x14ac:dyDescent="0.25">
      <c r="A8" s="86">
        <f>'[1]2019--2023 кор.19.05.20'!D89+'[1]2019--2023 кор.19.05.20'!D108+'[1]2019--2023 кор.19.05.20'!D139+'[1]2019--2023 кор.19.05.20'!D152+'[1]2019--2023 кор.19.05.20'!D201+'[1]2019--2023 кор.19.05.20'!D220+'[1]2019--2023 кор.19.05.20'!D301+'[1]2019--2023 кор.19.05.20'!D377+'[1]2019--2023 кор.19.05.20'!D438+'[1]2019--2023 кор.19.05.20'!D326+'[1]2019--2023 кор.19.05.20'!D233+'[1]2019--2023 кор.19.05.20'!D358+'[1]2019--2023 кор.19.05.20'!D246</f>
        <v>10189</v>
      </c>
      <c r="B8" s="86">
        <f>'[1]2019--2023 кор.19.05.20'!E89+'[1]2019--2023 кор.19.05.20'!E108+'[1]2019--2023 кор.19.05.20'!E139+'[1]2019--2023 кор.19.05.20'!E152+'[1]2019--2023 кор.19.05.20'!E201+'[1]2019--2023 кор.19.05.20'!E220+'[1]2019--2023 кор.19.05.20'!E301+'[1]2019--2023 кор.19.05.20'!E377+'[1]2019--2023 кор.19.05.20'!E438+'[1]2019--2023 кор.19.05.20'!E326+'[1]2019--2023 кор.19.05.20'!E233+'[1]2019--2023 кор.19.05.20'!E358+'[1]2019--2023 кор.19.05.20'!E246+'[1]2019--2023 кор.19.05.20'!E339</f>
        <v>66557.35000000002</v>
      </c>
      <c r="C8" s="86">
        <f>'[1]2019--2023 кор.19.05.20'!F89+'[1]2019--2023 кор.19.05.20'!F108+'[1]2019--2023 кор.19.05.20'!F139+'[1]2019--2023 кор.19.05.20'!F152+'[1]2019--2023 кор.19.05.20'!F201+'[1]2019--2023 кор.19.05.20'!F220+'[1]2019--2023 кор.19.05.20'!F301+'[1]2019--2023 кор.19.05.20'!F377+'[1]2019--2023 кор.19.05.20'!F438+'[1]2019--2023 кор.19.05.20'!F326+'[1]2019--2023 кор.19.05.20'!F233+'[1]2019--2023 кор.19.05.20'!F358+'[1]2019--2023 кор.19.05.20'!F246+'[1]2019--2023 кор.19.05.20'!F339</f>
        <v>168.5806</v>
      </c>
      <c r="D8" s="86">
        <f>'[1]2019--2023 кор.19.05.20'!G89+'[1]2019--2023 кор.19.05.20'!G108+'[1]2019--2023 кор.19.05.20'!G139+'[1]2019--2023 кор.19.05.20'!G152+'[1]2019--2023 кор.19.05.20'!G201+'[1]2019--2023 кор.19.05.20'!G220+'[1]2019--2023 кор.19.05.20'!G301+'[1]2019--2023 кор.19.05.20'!G377+'[1]2019--2023 кор.19.05.20'!G438+'[1]2019--2023 кор.19.05.20'!G326+'[1]2019--2023 кор.19.05.20'!G233+'[1]2019--2023 кор.19.05.20'!G358+'[1]2019--2023 кор.19.05.20'!G246+'[1]2019--2023 кор.19.05.20'!G339</f>
        <v>145.31</v>
      </c>
      <c r="E8" s="86">
        <f>'[1]2019--2023 кор.19.05.20'!H89+'[1]2019--2023 кор.19.05.20'!H108+'[1]2019--2023 кор.19.05.20'!H139+'[1]2019--2023 кор.19.05.20'!H152+'[1]2019--2023 кор.19.05.20'!H201+'[1]2019--2023 кор.19.05.20'!H220+'[1]2019--2023 кор.19.05.20'!H301+'[1]2019--2023 кор.19.05.20'!H377+'[1]2019--2023 кор.19.05.20'!H438+'[1]2019--2023 кор.19.05.20'!H326+'[1]2019--2023 кор.19.05.20'!H233+'[1]2019--2023 кор.19.05.20'!H358+'[1]2019--2023 кор.19.05.20'!H246+'[1]2019--2023 кор.19.05.20'!H339</f>
        <v>441459.46296999999</v>
      </c>
      <c r="F8" s="86">
        <f>'[1]2019--2023 кор.19.05.20'!I89+'[1]2019--2023 кор.19.05.20'!I108+'[1]2019--2023 кор.19.05.20'!I139+'[1]2019--2023 кор.19.05.20'!I152+'[1]2019--2023 кор.19.05.20'!I201+'[1]2019--2023 кор.19.05.20'!I220+'[1]2019--2023 кор.19.05.20'!I301+'[1]2019--2023 кор.19.05.20'!I377+'[1]2019--2023 кор.19.05.20'!I438+'[1]2019--2023 кор.19.05.20'!I326+'[1]2019--2023 кор.19.05.20'!I233+'[1]2019--2023 кор.19.05.20'!I358+'[1]2019--2023 кор.19.05.20'!I246+'[1]2019--2023 кор.19.05.20'!I339</f>
        <v>217065.25000000003</v>
      </c>
      <c r="G8" s="86">
        <f>'[1]2019--2023 кор.19.05.20'!J89+'[1]2019--2023 кор.19.05.20'!J108+'[1]2019--2023 кор.19.05.20'!J139+'[1]2019--2023 кор.19.05.20'!J152+'[1]2019--2023 кор.19.05.20'!J201+'[1]2019--2023 кор.19.05.20'!J220+'[1]2019--2023 кор.19.05.20'!J301+'[1]2019--2023 кор.19.05.20'!J377+'[1]2019--2023 кор.19.05.20'!J438+'[1]2019--2023 кор.19.05.20'!J326+'[1]2019--2023 кор.19.05.20'!J233+'[1]2019--2023 кор.19.05.20'!J358+'[1]2019--2023 кор.19.05.20'!J246+'[1]2019--2023 кор.19.05.20'!J339</f>
        <v>41724.921770000001</v>
      </c>
      <c r="H8" s="86">
        <f>'[1]2019--2023 кор.19.05.20'!K89+'[1]2019--2023 кор.19.05.20'!K108+'[1]2019--2023 кор.19.05.20'!K139+'[1]2019--2023 кор.19.05.20'!K152+'[1]2019--2023 кор.19.05.20'!K201+'[1]2019--2023 кор.19.05.20'!K220+'[1]2019--2023 кор.19.05.20'!K301+'[1]2019--2023 кор.19.05.20'!K377+'[1]2019--2023 кор.19.05.20'!K438+'[1]2019--2023 кор.19.05.20'!K326+'[1]2019--2023 кор.19.05.20'!K233+'[1]2019--2023 кор.19.05.20'!K358+'[1]2019--2023 кор.19.05.20'!K246+'[1]2019--2023 кор.19.05.20'!K339</f>
        <v>182669.29119999998</v>
      </c>
      <c r="I8" s="86">
        <f>'[1]2019--2023 кор.19.05.20'!L89+'[1]2019--2023 кор.19.05.20'!L108+'[1]2019--2023 кор.19.05.20'!L139+'[1]2019--2023 кор.19.05.20'!L152+'[1]2019--2023 кор.19.05.20'!L201+'[1]2019--2023 кор.19.05.20'!L220+'[1]2019--2023 кор.19.05.20'!L301+'[1]2019--2023 кор.19.05.20'!L377+'[1]2019--2023 кор.19.05.20'!L438+'[1]2019--2023 кор.19.05.20'!L326+'[1]2019--2023 кор.19.05.20'!L233+'[1]2019--2023 кор.19.05.20'!L358+'[1]2019--2023 кор.19.05.20'!L444</f>
        <v>2681.6648100000002</v>
      </c>
      <c r="J8" s="87">
        <f>G8+H8+I8</f>
        <v>227075.87777999998</v>
      </c>
    </row>
    <row r="9" spans="1:10" x14ac:dyDescent="0.25">
      <c r="A9" s="86">
        <f>'[1]2019--2023 кор.19.05.20'!D90+'[1]2019--2023 кор.19.05.20'!D109+'[1]2019--2023 кор.19.05.20'!D140+'[1]2019--2023 кор.19.05.20'!D153+'[1]2019--2023 кор.19.05.20'!D202+'[1]2019--2023 кор.19.05.20'!D221+'[1]2019--2023 кор.19.05.20'!D302+'[1]2019--2023 кор.19.05.20'!D378+'[1]2019--2023 кор.19.05.20'!D439+'[1]2019--2023 кор.19.05.20'!D327+'[1]2019--2023 кор.19.05.20'!D234+'[1]2019--2023 кор.19.05.20'!D359+'[1]2019--2023 кор.19.05.20'!D247</f>
        <v>8558</v>
      </c>
      <c r="B9" s="86">
        <f>'[1]2019--2023 кор.19.05.20'!E90+'[1]2019--2023 кор.19.05.20'!E109+'[1]2019--2023 кор.19.05.20'!E140+'[1]2019--2023 кор.19.05.20'!E153+'[1]2019--2023 кор.19.05.20'!E202+'[1]2019--2023 кор.19.05.20'!E221+'[1]2019--2023 кор.19.05.20'!E302+'[1]2019--2023 кор.19.05.20'!E378+'[1]2019--2023 кор.19.05.20'!E439+'[1]2019--2023 кор.19.05.20'!E327+'[1]2019--2023 кор.19.05.20'!E234+'[1]2019--2023 кор.19.05.20'!E359+'[1]2019--2023 кор.19.05.20'!E247+'[1]2019--2023 кор.19.05.20'!E340</f>
        <v>22891.840999999997</v>
      </c>
      <c r="C9" s="86">
        <f>'[1]2019--2023 кор.19.05.20'!F90+'[1]2019--2023 кор.19.05.20'!F109+'[1]2019--2023 кор.19.05.20'!F140+'[1]2019--2023 кор.19.05.20'!F153+'[1]2019--2023 кор.19.05.20'!F202+'[1]2019--2023 кор.19.05.20'!F221+'[1]2019--2023 кор.19.05.20'!F302+'[1]2019--2023 кор.19.05.20'!F378+'[1]2019--2023 кор.19.05.20'!F439+'[1]2019--2023 кор.19.05.20'!F327+'[1]2019--2023 кор.19.05.20'!F234+'[1]2019--2023 кор.19.05.20'!F359+'[1]2019--2023 кор.19.05.20'!F247+'[1]2019--2023 кор.19.05.20'!F340</f>
        <v>47.300199999999997</v>
      </c>
      <c r="D9" s="86">
        <f>'[1]2019--2023 кор.19.05.20'!G90+'[1]2019--2023 кор.19.05.20'!G109+'[1]2019--2023 кор.19.05.20'!G140+'[1]2019--2023 кор.19.05.20'!G153+'[1]2019--2023 кор.19.05.20'!G202+'[1]2019--2023 кор.19.05.20'!G221+'[1]2019--2023 кор.19.05.20'!G302+'[1]2019--2023 кор.19.05.20'!G378+'[1]2019--2023 кор.19.05.20'!G439+'[1]2019--2023 кор.19.05.20'!G327+'[1]2019--2023 кор.19.05.20'!G234+'[1]2019--2023 кор.19.05.20'!G359+'[1]2019--2023 кор.19.05.20'!G247+'[1]2019--2023 кор.19.05.20'!G340</f>
        <v>87</v>
      </c>
      <c r="E9" s="86">
        <f>'[1]2019--2023 кор.19.05.20'!H90+'[1]2019--2023 кор.19.05.20'!H109+'[1]2019--2023 кор.19.05.20'!H140+'[1]2019--2023 кор.19.05.20'!H153+'[1]2019--2023 кор.19.05.20'!H202+'[1]2019--2023 кор.19.05.20'!H221+'[1]2019--2023 кор.19.05.20'!H302+'[1]2019--2023 кор.19.05.20'!H378+'[1]2019--2023 кор.19.05.20'!H439+'[1]2019--2023 кор.19.05.20'!H327+'[1]2019--2023 кор.19.05.20'!H234+'[1]2019--2023 кор.19.05.20'!H359+'[1]2019--2023 кор.19.05.20'!H247+'[1]2019--2023 кор.19.05.20'!H340</f>
        <v>469969.31815000001</v>
      </c>
      <c r="F9" s="86">
        <f>'[1]2019--2023 кор.19.05.20'!I90+'[1]2019--2023 кор.19.05.20'!I109+'[1]2019--2023 кор.19.05.20'!I140+'[1]2019--2023 кор.19.05.20'!I153+'[1]2019--2023 кор.19.05.20'!I202+'[1]2019--2023 кор.19.05.20'!I221+'[1]2019--2023 кор.19.05.20'!I302+'[1]2019--2023 кор.19.05.20'!I378+'[1]2019--2023 кор.19.05.20'!I439+'[1]2019--2023 кор.19.05.20'!I327+'[1]2019--2023 кор.19.05.20'!I234+'[1]2019--2023 кор.19.05.20'!I359+'[1]2019--2023 кор.19.05.20'!I247+'[1]2019--2023 кор.19.05.20'!I340</f>
        <v>1.6255900000000001</v>
      </c>
      <c r="G9" s="86">
        <f>'[1]2019--2023 кор.19.05.20'!J90+'[1]2019--2023 кор.19.05.20'!J109+'[1]2019--2023 кор.19.05.20'!J140+'[1]2019--2023 кор.19.05.20'!J153+'[1]2019--2023 кор.19.05.20'!J202+'[1]2019--2023 кор.19.05.20'!J221+'[1]2019--2023 кор.19.05.20'!J302+'[1]2019--2023 кор.19.05.20'!J378+'[1]2019--2023 кор.19.05.20'!J439+'[1]2019--2023 кор.19.05.20'!J327+'[1]2019--2023 кор.19.05.20'!J234+'[1]2019--2023 кор.19.05.20'!J359+'[1]2019--2023 кор.19.05.20'!J247+'[1]2019--2023 кор.19.05.20'!J340</f>
        <v>63273.67</v>
      </c>
      <c r="H9" s="86">
        <f>'[1]2019--2023 кор.19.05.20'!K90+'[1]2019--2023 кор.19.05.20'!K109+'[1]2019--2023 кор.19.05.20'!K140+'[1]2019--2023 кор.19.05.20'!K153+'[1]2019--2023 кор.19.05.20'!K202+'[1]2019--2023 кор.19.05.20'!K221+'[1]2019--2023 кор.19.05.20'!K302+'[1]2019--2023 кор.19.05.20'!K378+'[1]2019--2023 кор.19.05.20'!K439+'[1]2019--2023 кор.19.05.20'!K327+'[1]2019--2023 кор.19.05.20'!K234+'[1]2019--2023 кор.19.05.20'!K359+'[1]2019--2023 кор.19.05.20'!K247+'[1]2019--2023 кор.19.05.20'!K340</f>
        <v>408194.02256000001</v>
      </c>
      <c r="I9" s="86">
        <v>25036.959999999999</v>
      </c>
      <c r="J9" s="87">
        <f>G9+H9+I9</f>
        <v>496504.65256000002</v>
      </c>
    </row>
    <row r="10" spans="1:10" x14ac:dyDescent="0.25">
      <c r="A10" s="86">
        <f>'[1]2019--2023 кор.19.05.20'!D91+'[1]2019--2023 кор.19.05.20'!D110+'[1]2019--2023 кор.19.05.20'!D141+'[1]2019--2023 кор.19.05.20'!D154+'[1]2019--2023 кор.19.05.20'!D203+'[1]2019--2023 кор.19.05.20'!D222+'[1]2019--2023 кор.19.05.20'!D303+'[1]2019--2023 кор.19.05.20'!D379+'[1]2019--2023 кор.19.05.20'!D440+'[1]2019--2023 кор.19.05.20'!D328+'[1]2019--2023 кор.19.05.20'!D235+'[1]2019--2023 кор.19.05.20'!D360+'[1]2019--2023 кор.19.05.20'!D248</f>
        <v>990</v>
      </c>
      <c r="B10" s="86">
        <f>'[1]2019--2023 кор.19.05.20'!E91+'[1]2019--2023 кор.19.05.20'!E110+'[1]2019--2023 кор.19.05.20'!E141+'[1]2019--2023 кор.19.05.20'!E154+'[1]2019--2023 кор.19.05.20'!E203+'[1]2019--2023 кор.19.05.20'!E222+'[1]2019--2023 кор.19.05.20'!E303+'[1]2019--2023 кор.19.05.20'!E379+'[1]2019--2023 кор.19.05.20'!E440+'[1]2019--2023 кор.19.05.20'!E328+'[1]2019--2023 кор.19.05.20'!E235+'[1]2019--2023 кор.19.05.20'!E360+'[1]2019--2023 кор.19.05.20'!E248+'[1]2019--2023 кор.19.05.20'!E341</f>
        <v>1787.9</v>
      </c>
      <c r="C10" s="86">
        <f>'[1]2019--2023 кор.19.05.20'!F91+'[1]2019--2023 кор.19.05.20'!F110+'[1]2019--2023 кор.19.05.20'!F141+'[1]2019--2023 кор.19.05.20'!F154+'[1]2019--2023 кор.19.05.20'!F203+'[1]2019--2023 кор.19.05.20'!F222+'[1]2019--2023 кор.19.05.20'!F303+'[1]2019--2023 кор.19.05.20'!F379+'[1]2019--2023 кор.19.05.20'!F440+'[1]2019--2023 кор.19.05.20'!F328+'[1]2019--2023 кор.19.05.20'!F235+'[1]2019--2023 кор.19.05.20'!F360+'[1]2019--2023 кор.19.05.20'!F248+'[1]2019--2023 кор.19.05.20'!F341</f>
        <v>3.9860000000000002</v>
      </c>
      <c r="D10" s="86">
        <f>'[1]2019--2023 кор.19.05.20'!G91+'[1]2019--2023 кор.19.05.20'!G110+'[1]2019--2023 кор.19.05.20'!G141+'[1]2019--2023 кор.19.05.20'!G154+'[1]2019--2023 кор.19.05.20'!G203+'[1]2019--2023 кор.19.05.20'!G222+'[1]2019--2023 кор.19.05.20'!G303+'[1]2019--2023 кор.19.05.20'!G379+'[1]2019--2023 кор.19.05.20'!G440+'[1]2019--2023 кор.19.05.20'!G328+'[1]2019--2023 кор.19.05.20'!G235+'[1]2019--2023 кор.19.05.20'!G360+'[1]2019--2023 кор.19.05.20'!G248+'[1]2019--2023 кор.19.05.20'!G341</f>
        <v>12.65</v>
      </c>
      <c r="E10" s="86">
        <f>'[1]2019--2023 кор.19.05.20'!H91+'[1]2019--2023 кор.19.05.20'!H110+'[1]2019--2023 кор.19.05.20'!H141+'[1]2019--2023 кор.19.05.20'!H154+'[1]2019--2023 кор.19.05.20'!H203+'[1]2019--2023 кор.19.05.20'!H222+'[1]2019--2023 кор.19.05.20'!H303+'[1]2019--2023 кор.19.05.20'!H379+'[1]2019--2023 кор.19.05.20'!H440+'[1]2019--2023 кор.19.05.20'!H328+'[1]2019--2023 кор.19.05.20'!H235+'[1]2019--2023 кор.19.05.20'!H360+'[1]2019--2023 кор.19.05.20'!H248+'[1]2019--2023 кор.19.05.20'!H341</f>
        <v>314461.5</v>
      </c>
      <c r="F10" s="86">
        <f>'[1]2019--2023 кор.19.05.20'!I91+'[1]2019--2023 кор.19.05.20'!I110+'[1]2019--2023 кор.19.05.20'!I141+'[1]2019--2023 кор.19.05.20'!I154+'[1]2019--2023 кор.19.05.20'!I203+'[1]2019--2023 кор.19.05.20'!I222+'[1]2019--2023 кор.19.05.20'!I303+'[1]2019--2023 кор.19.05.20'!I379+'[1]2019--2023 кор.19.05.20'!I440+'[1]2019--2023 кор.19.05.20'!I328+'[1]2019--2023 кор.19.05.20'!I235+'[1]2019--2023 кор.19.05.20'!I360+'[1]2019--2023 кор.19.05.20'!I248+'[1]2019--2023 кор.19.05.20'!I341</f>
        <v>0</v>
      </c>
      <c r="G10" s="86">
        <f>'[1]2019--2023 кор.19.05.20'!J91+'[1]2019--2023 кор.19.05.20'!J110+'[1]2019--2023 кор.19.05.20'!J141+'[1]2019--2023 кор.19.05.20'!J154+'[1]2019--2023 кор.19.05.20'!J203+'[1]2019--2023 кор.19.05.20'!J222+'[1]2019--2023 кор.19.05.20'!J303+'[1]2019--2023 кор.19.05.20'!J379+'[1]2019--2023 кор.19.05.20'!J440+'[1]2019--2023 кор.19.05.20'!J328+'[1]2019--2023 кор.19.05.20'!J235+'[1]2019--2023 кор.19.05.20'!J360+'[1]2019--2023 кор.19.05.20'!J248+'[1]2019--2023 кор.19.05.20'!J341</f>
        <v>26079.27</v>
      </c>
      <c r="H10" s="86">
        <f>'[1]2019--2023 кор.19.05.20'!K91+'[1]2019--2023 кор.19.05.20'!K110+'[1]2019--2023 кор.19.05.20'!K141+'[1]2019--2023 кор.19.05.20'!K154+'[1]2019--2023 кор.19.05.20'!K203+'[1]2019--2023 кор.19.05.20'!K222+'[1]2019--2023 кор.19.05.20'!K303+'[1]2019--2023 кор.19.05.20'!K379+'[1]2019--2023 кор.19.05.20'!K440+'[1]2019--2023 кор.19.05.20'!K328+'[1]2019--2023 кор.19.05.20'!K235+'[1]2019--2023 кор.19.05.20'!K360+'[1]2019--2023 кор.19.05.20'!K248+'[1]2019--2023 кор.19.05.20'!K341</f>
        <v>298190.23</v>
      </c>
      <c r="I10" s="86">
        <v>85000</v>
      </c>
      <c r="J10" s="87">
        <f>G10+H10+I10</f>
        <v>409269.5</v>
      </c>
    </row>
    <row r="11" spans="1:10" x14ac:dyDescent="0.25">
      <c r="A11" s="86">
        <f>'[1]2019--2023 кор.19.05.20'!D92+'[1]2019--2023 кор.19.05.20'!D111+'[1]2019--2023 кор.19.05.20'!D142+'[1]2019--2023 кор.19.05.20'!D155+'[1]2019--2023 кор.19.05.20'!D204+'[1]2019--2023 кор.19.05.20'!D223+'[1]2019--2023 кор.19.05.20'!D304+'[1]2019--2023 кор.19.05.20'!D380+'[1]2019--2023 кор.19.05.20'!D441+'[1]2019--2023 кор.19.05.20'!D329+'[1]2019--2023 кор.19.05.20'!D236+'[1]2019--2023 кор.19.05.20'!D361+'[1]2019--2023 кор.19.05.20'!D249</f>
        <v>1693</v>
      </c>
      <c r="B11" s="86">
        <f>'[1]2019--2023 кор.19.05.20'!E92+'[1]2019--2023 кор.19.05.20'!E111+'[1]2019--2023 кор.19.05.20'!E142+'[1]2019--2023 кор.19.05.20'!E155+'[1]2019--2023 кор.19.05.20'!E204+'[1]2019--2023 кор.19.05.20'!E223+'[1]2019--2023 кор.19.05.20'!E304+'[1]2019--2023 кор.19.05.20'!E380+'[1]2019--2023 кор.19.05.20'!E441+'[1]2019--2023 кор.19.05.20'!E329+'[1]2019--2023 кор.19.05.20'!E236+'[1]2019--2023 кор.19.05.20'!E361+'[1]2019--2023 кор.19.05.20'!E249+'[1]2019--2023 кор.19.05.20'!E342</f>
        <v>3847.7014999999997</v>
      </c>
      <c r="C11" s="86">
        <f>'[1]2019--2023 кор.19.05.20'!F92+'[1]2019--2023 кор.19.05.20'!F111+'[1]2019--2023 кор.19.05.20'!F142+'[1]2019--2023 кор.19.05.20'!F155+'[1]2019--2023 кор.19.05.20'!F204+'[1]2019--2023 кор.19.05.20'!F223+'[1]2019--2023 кор.19.05.20'!F304+'[1]2019--2023 кор.19.05.20'!F380+'[1]2019--2023 кор.19.05.20'!F441+'[1]2019--2023 кор.19.05.20'!F329+'[1]2019--2023 кор.19.05.20'!F236+'[1]2019--2023 кор.19.05.20'!F361+'[1]2019--2023 кор.19.05.20'!F249+'[1]2019--2023 кор.19.05.20'!F342</f>
        <v>10.573399999999999</v>
      </c>
      <c r="D11" s="86">
        <f>'[1]2019--2023 кор.19.05.20'!G92+'[1]2019--2023 кор.19.05.20'!G111+'[1]2019--2023 кор.19.05.20'!G142+'[1]2019--2023 кор.19.05.20'!G155+'[1]2019--2023 кор.19.05.20'!G204+'[1]2019--2023 кор.19.05.20'!G223+'[1]2019--2023 кор.19.05.20'!G304+'[1]2019--2023 кор.19.05.20'!G380+'[1]2019--2023 кор.19.05.20'!G441+'[1]2019--2023 кор.19.05.20'!G329+'[1]2019--2023 кор.19.05.20'!G236+'[1]2019--2023 кор.19.05.20'!G361+'[1]2019--2023 кор.19.05.20'!G249+'[1]2019--2023 кор.19.05.20'!G342</f>
        <v>60.5</v>
      </c>
      <c r="E11" s="86">
        <f>'[1]2019--2023 кор.19.05.20'!H92+'[1]2019--2023 кор.19.05.20'!H111+'[1]2019--2023 кор.19.05.20'!H142+'[1]2019--2023 кор.19.05.20'!H155+'[1]2019--2023 кор.19.05.20'!H204+'[1]2019--2023 кор.19.05.20'!H223+'[1]2019--2023 кор.19.05.20'!H304+'[1]2019--2023 кор.19.05.20'!H380+'[1]2019--2023 кор.19.05.20'!H441+'[1]2019--2023 кор.19.05.20'!H329+'[1]2019--2023 кор.19.05.20'!H236+'[1]2019--2023 кор.19.05.20'!H361+'[1]2019--2023 кор.19.05.20'!H249+'[1]2019--2023 кор.19.05.20'!H342</f>
        <v>160667.31</v>
      </c>
      <c r="F11" s="86">
        <f>'[1]2019--2023 кор.19.05.20'!I92+'[1]2019--2023 кор.19.05.20'!I111+'[1]2019--2023 кор.19.05.20'!I142+'[1]2019--2023 кор.19.05.20'!I155+'[1]2019--2023 кор.19.05.20'!I204+'[1]2019--2023 кор.19.05.20'!I223+'[1]2019--2023 кор.19.05.20'!I304+'[1]2019--2023 кор.19.05.20'!I380+'[1]2019--2023 кор.19.05.20'!I441+'[1]2019--2023 кор.19.05.20'!I329+'[1]2019--2023 кор.19.05.20'!I236+'[1]2019--2023 кор.19.05.20'!I361+'[1]2019--2023 кор.19.05.20'!I249+'[1]2019--2023 кор.19.05.20'!I342</f>
        <v>0</v>
      </c>
      <c r="G11" s="86">
        <f>'[1]2019--2023 кор.19.05.20'!J92+'[1]2019--2023 кор.19.05.20'!J111+'[1]2019--2023 кор.19.05.20'!J142+'[1]2019--2023 кор.19.05.20'!J155+'[1]2019--2023 кор.19.05.20'!J204+'[1]2019--2023 кор.19.05.20'!J223+'[1]2019--2023 кор.19.05.20'!J304+'[1]2019--2023 кор.19.05.20'!J380+'[1]2019--2023 кор.19.05.20'!J441+'[1]2019--2023 кор.19.05.20'!J329+'[1]2019--2023 кор.19.05.20'!J236+'[1]2019--2023 кор.19.05.20'!J361+'[1]2019--2023 кор.19.05.20'!J249+'[1]2019--2023 кор.19.05.20'!J342</f>
        <v>64399.33</v>
      </c>
      <c r="H11" s="86">
        <f>'[1]2019--2023 кор.19.05.20'!K92+'[1]2019--2023 кор.19.05.20'!K111+'[1]2019--2023 кор.19.05.20'!K142+'[1]2019--2023 кор.19.05.20'!K155+'[1]2019--2023 кор.19.05.20'!K204+'[1]2019--2023 кор.19.05.20'!K223+'[1]2019--2023 кор.19.05.20'!K304+'[1]2019--2023 кор.19.05.20'!K380+'[1]2019--2023 кор.19.05.20'!K441+'[1]2019--2023 кор.19.05.20'!K329+'[1]2019--2023 кор.19.05.20'!K236+'[1]2019--2023 кор.19.05.20'!K361+'[1]2019--2023 кор.19.05.20'!K249+'[1]2019--2023 кор.19.05.20'!K342</f>
        <v>101267.98</v>
      </c>
      <c r="I11" s="86">
        <v>95000</v>
      </c>
      <c r="J11" s="87">
        <f>G11+H11+I11</f>
        <v>260667.31</v>
      </c>
    </row>
    <row r="12" spans="1:10" x14ac:dyDescent="0.25">
      <c r="A12" s="86">
        <f>'[1]2019--2023 кор.19.05.20'!D93+'[1]2019--2023 кор.19.05.20'!D112+'[1]2019--2023 кор.19.05.20'!D143+'[1]2019--2023 кор.19.05.20'!D156+'[1]2019--2023 кор.19.05.20'!D205+'[1]2019--2023 кор.19.05.20'!D224+'[1]2019--2023 кор.19.05.20'!D305+'[1]2019--2023 кор.19.05.20'!D381+'[1]2019--2023 кор.19.05.20'!D442+'[1]2019--2023 кор.19.05.20'!D330+'[1]2019--2023 кор.19.05.20'!D237+'[1]2019--2023 кор.19.05.20'!D362+'[1]2019--2023 кор.19.05.20'!D250</f>
        <v>242</v>
      </c>
      <c r="B12" s="86">
        <f>'[1]2019--2023 кор.19.05.20'!E93+'[1]2019--2023 кор.19.05.20'!E112+'[1]2019--2023 кор.19.05.20'!E143+'[1]2019--2023 кор.19.05.20'!E156+'[1]2019--2023 кор.19.05.20'!E205+'[1]2019--2023 кор.19.05.20'!E224+'[1]2019--2023 кор.19.05.20'!E305+'[1]2019--2023 кор.19.05.20'!E381+'[1]2019--2023 кор.19.05.20'!E442+'[1]2019--2023 кор.19.05.20'!E330+'[1]2019--2023 кор.19.05.20'!E237+'[1]2019--2023 кор.19.05.20'!E362+'[1]2019--2023 кор.19.05.20'!E250+'[1]2019--2023 кор.19.05.20'!E343</f>
        <v>337.58</v>
      </c>
      <c r="C12" s="86">
        <f>'[1]2019--2023 кор.19.05.20'!F93+'[1]2019--2023 кор.19.05.20'!F112+'[1]2019--2023 кор.19.05.20'!F143+'[1]2019--2023 кор.19.05.20'!F156+'[1]2019--2023 кор.19.05.20'!F205+'[1]2019--2023 кор.19.05.20'!F224+'[1]2019--2023 кор.19.05.20'!F305+'[1]2019--2023 кор.19.05.20'!F381+'[1]2019--2023 кор.19.05.20'!F442+'[1]2019--2023 кор.19.05.20'!F330+'[1]2019--2023 кор.19.05.20'!F237+'[1]2019--2023 кор.19.05.20'!F362+'[1]2019--2023 кор.19.05.20'!F250+'[1]2019--2023 кор.19.05.20'!F343</f>
        <v>9.25</v>
      </c>
      <c r="D12" s="86">
        <f>'[1]2019--2023 кор.19.05.20'!G93+'[1]2019--2023 кор.19.05.20'!G112+'[1]2019--2023 кор.19.05.20'!G143+'[1]2019--2023 кор.19.05.20'!G156+'[1]2019--2023 кор.19.05.20'!G205+'[1]2019--2023 кор.19.05.20'!G224+'[1]2019--2023 кор.19.05.20'!G305+'[1]2019--2023 кор.19.05.20'!G381+'[1]2019--2023 кор.19.05.20'!G442+'[1]2019--2023 кор.19.05.20'!G330+'[1]2019--2023 кор.19.05.20'!G237+'[1]2019--2023 кор.19.05.20'!G362+'[1]2019--2023 кор.19.05.20'!G250+'[1]2019--2023 кор.19.05.20'!G343</f>
        <v>12</v>
      </c>
      <c r="E12" s="86">
        <f>'[1]2019--2023 кор.19.05.20'!H93+'[1]2019--2023 кор.19.05.20'!H112+'[1]2019--2023 кор.19.05.20'!H143+'[1]2019--2023 кор.19.05.20'!H156+'[1]2019--2023 кор.19.05.20'!H205+'[1]2019--2023 кор.19.05.20'!H224+'[1]2019--2023 кор.19.05.20'!H305+'[1]2019--2023 кор.19.05.20'!H381+'[1]2019--2023 кор.19.05.20'!H442+'[1]2019--2023 кор.19.05.20'!H330+'[1]2019--2023 кор.19.05.20'!H237+'[1]2019--2023 кор.19.05.20'!H362+'[1]2019--2023 кор.19.05.20'!H250+'[1]2019--2023 кор.19.05.20'!H343</f>
        <v>219916.41</v>
      </c>
      <c r="F12" s="86">
        <f>'[1]2019--2023 кор.19.05.20'!I93+'[1]2019--2023 кор.19.05.20'!I112+'[1]2019--2023 кор.19.05.20'!I143+'[1]2019--2023 кор.19.05.20'!I156+'[1]2019--2023 кор.19.05.20'!I205+'[1]2019--2023 кор.19.05.20'!I224+'[1]2019--2023 кор.19.05.20'!I305+'[1]2019--2023 кор.19.05.20'!I381+'[1]2019--2023 кор.19.05.20'!I442+'[1]2019--2023 кор.19.05.20'!I330+'[1]2019--2023 кор.19.05.20'!I237+'[1]2019--2023 кор.19.05.20'!I362+'[1]2019--2023 кор.19.05.20'!I250+'[1]2019--2023 кор.19.05.20'!I343</f>
        <v>0</v>
      </c>
      <c r="G12" s="86">
        <f>'[1]2019--2023 кор.19.05.20'!J93+'[1]2019--2023 кор.19.05.20'!J112+'[1]2019--2023 кор.19.05.20'!J143+'[1]2019--2023 кор.19.05.20'!J156+'[1]2019--2023 кор.19.05.20'!J205+'[1]2019--2023 кор.19.05.20'!J224+'[1]2019--2023 кор.19.05.20'!J305+'[1]2019--2023 кор.19.05.20'!J381+'[1]2019--2023 кор.19.05.20'!J442+'[1]2019--2023 кор.19.05.20'!J330+'[1]2019--2023 кор.19.05.20'!J237+'[1]2019--2023 кор.19.05.20'!J362+'[1]2019--2023 кор.19.05.20'!J250+'[1]2019--2023 кор.19.05.20'!J343</f>
        <v>14500</v>
      </c>
      <c r="H12" s="86">
        <f>'[1]2019--2023 кор.19.05.20'!K93+'[1]2019--2023 кор.19.05.20'!K112+'[1]2019--2023 кор.19.05.20'!K143+'[1]2019--2023 кор.19.05.20'!K156+'[1]2019--2023 кор.19.05.20'!K205+'[1]2019--2023 кор.19.05.20'!K224+'[1]2019--2023 кор.19.05.20'!K305+'[1]2019--2023 кор.19.05.20'!K381+'[1]2019--2023 кор.19.05.20'!K442+'[1]2019--2023 кор.19.05.20'!K330+'[1]2019--2023 кор.19.05.20'!K237+'[1]2019--2023 кор.19.05.20'!K362+'[1]2019--2023 кор.19.05.20'!K250+'[1]2019--2023 кор.19.05.20'!K343</f>
        <v>205416.41</v>
      </c>
      <c r="I12" s="86">
        <v>105000</v>
      </c>
      <c r="J12" s="87">
        <f>G12+H12+I12</f>
        <v>324916.41000000003</v>
      </c>
    </row>
    <row r="13" spans="1:10" x14ac:dyDescent="0.25">
      <c r="A13" s="88">
        <f t="shared" ref="A13:J13" si="0">SUM(A8:A12)</f>
        <v>21672</v>
      </c>
      <c r="B13" s="88">
        <f t="shared" si="0"/>
        <v>95422.372500000012</v>
      </c>
      <c r="C13" s="88">
        <f t="shared" si="0"/>
        <v>239.69019999999998</v>
      </c>
      <c r="D13" s="89">
        <f t="shared" si="0"/>
        <v>317.46000000000004</v>
      </c>
      <c r="E13" s="89">
        <f t="shared" si="0"/>
        <v>1606474.0011199999</v>
      </c>
      <c r="F13" s="89">
        <f t="shared" si="0"/>
        <v>217066.87559000004</v>
      </c>
      <c r="G13" s="89">
        <f t="shared" si="0"/>
        <v>209977.19176999998</v>
      </c>
      <c r="H13" s="89">
        <f t="shared" si="0"/>
        <v>1195737.9337599999</v>
      </c>
      <c r="I13" s="89">
        <f t="shared" si="0"/>
        <v>312718.62481000001</v>
      </c>
      <c r="J13" s="89">
        <f t="shared" si="0"/>
        <v>1718433.7503400003</v>
      </c>
    </row>
    <row r="15" spans="1:10" x14ac:dyDescent="0.25">
      <c r="A15" t="b">
        <f>A1=A8</f>
        <v>0</v>
      </c>
      <c r="B15" t="b">
        <f t="shared" ref="B15:J15" si="1">B1=B8</f>
        <v>0</v>
      </c>
      <c r="C15" t="b">
        <f t="shared" si="1"/>
        <v>0</v>
      </c>
      <c r="D15" t="b">
        <f t="shared" si="1"/>
        <v>0</v>
      </c>
      <c r="E15" t="b">
        <f t="shared" si="1"/>
        <v>1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</row>
    <row r="16" spans="1:10" x14ac:dyDescent="0.25">
      <c r="A16" t="b">
        <f t="shared" ref="A16:J16" si="2">A2=A9</f>
        <v>0</v>
      </c>
      <c r="B16" t="b">
        <f t="shared" si="2"/>
        <v>0</v>
      </c>
      <c r="C16" t="b">
        <f t="shared" si="2"/>
        <v>1</v>
      </c>
      <c r="D16" t="b">
        <f t="shared" si="2"/>
        <v>1</v>
      </c>
      <c r="E16" t="b">
        <f t="shared" si="2"/>
        <v>1</v>
      </c>
      <c r="F16" t="b">
        <f t="shared" si="2"/>
        <v>1</v>
      </c>
      <c r="G16" t="b">
        <f t="shared" si="2"/>
        <v>1</v>
      </c>
      <c r="H16" t="b">
        <f t="shared" si="2"/>
        <v>1</v>
      </c>
      <c r="I16" t="b">
        <f t="shared" si="2"/>
        <v>1</v>
      </c>
      <c r="J16" t="b">
        <f t="shared" si="2"/>
        <v>1</v>
      </c>
    </row>
    <row r="17" spans="1:10" x14ac:dyDescent="0.25">
      <c r="A17" t="b">
        <f t="shared" ref="A17:J17" si="3">A3=A10</f>
        <v>1</v>
      </c>
      <c r="B17" t="b">
        <f t="shared" si="3"/>
        <v>1</v>
      </c>
      <c r="C17" t="b">
        <f t="shared" si="3"/>
        <v>1</v>
      </c>
      <c r="D17" t="b">
        <f t="shared" si="3"/>
        <v>1</v>
      </c>
      <c r="E17" t="b">
        <f t="shared" si="3"/>
        <v>1</v>
      </c>
      <c r="F17" t="b">
        <f t="shared" si="3"/>
        <v>1</v>
      </c>
      <c r="G17" t="b">
        <f t="shared" si="3"/>
        <v>1</v>
      </c>
      <c r="H17" t="b">
        <f t="shared" si="3"/>
        <v>1</v>
      </c>
      <c r="I17" t="b">
        <f t="shared" si="3"/>
        <v>1</v>
      </c>
      <c r="J17" t="b">
        <f t="shared" si="3"/>
        <v>1</v>
      </c>
    </row>
    <row r="18" spans="1:10" x14ac:dyDescent="0.25">
      <c r="A18" t="b">
        <f t="shared" ref="A18:J18" si="4">A4=A11</f>
        <v>1</v>
      </c>
      <c r="B18" t="b">
        <f t="shared" si="4"/>
        <v>1</v>
      </c>
      <c r="C18" t="b">
        <f t="shared" si="4"/>
        <v>1</v>
      </c>
      <c r="D18" t="b">
        <f t="shared" si="4"/>
        <v>1</v>
      </c>
      <c r="E18" t="b">
        <f t="shared" si="4"/>
        <v>1</v>
      </c>
      <c r="F18" t="b">
        <f t="shared" si="4"/>
        <v>1</v>
      </c>
      <c r="G18" t="b">
        <f t="shared" si="4"/>
        <v>1</v>
      </c>
      <c r="H18" t="b">
        <f t="shared" si="4"/>
        <v>1</v>
      </c>
      <c r="I18" t="b">
        <f t="shared" si="4"/>
        <v>1</v>
      </c>
      <c r="J18" t="b">
        <f t="shared" si="4"/>
        <v>1</v>
      </c>
    </row>
    <row r="19" spans="1:10" x14ac:dyDescent="0.25">
      <c r="A19" t="b">
        <f t="shared" ref="A19:J19" si="5">A5=A12</f>
        <v>1</v>
      </c>
      <c r="B19" t="b">
        <f t="shared" si="5"/>
        <v>1</v>
      </c>
      <c r="C19" t="b">
        <f t="shared" si="5"/>
        <v>1</v>
      </c>
      <c r="D19" t="b">
        <f t="shared" si="5"/>
        <v>1</v>
      </c>
      <c r="E19" t="b">
        <f t="shared" si="5"/>
        <v>1</v>
      </c>
      <c r="F19" t="b">
        <f t="shared" si="5"/>
        <v>1</v>
      </c>
      <c r="G19" t="b">
        <f t="shared" si="5"/>
        <v>1</v>
      </c>
      <c r="H19" t="b">
        <f t="shared" si="5"/>
        <v>1</v>
      </c>
      <c r="I19" t="b">
        <f t="shared" si="5"/>
        <v>1</v>
      </c>
      <c r="J19" t="b">
        <f t="shared" si="5"/>
        <v>1</v>
      </c>
    </row>
    <row r="20" spans="1:10" x14ac:dyDescent="0.25">
      <c r="A20" t="b">
        <f t="shared" ref="A20:J20" si="6">A6=A13</f>
        <v>0</v>
      </c>
      <c r="B20" t="b">
        <f t="shared" si="6"/>
        <v>0</v>
      </c>
      <c r="C20" t="b">
        <f t="shared" si="6"/>
        <v>0</v>
      </c>
      <c r="D20" t="b">
        <f t="shared" si="6"/>
        <v>0</v>
      </c>
      <c r="E20" t="b">
        <f t="shared" si="6"/>
        <v>1</v>
      </c>
      <c r="F20" t="b">
        <f t="shared" si="6"/>
        <v>1</v>
      </c>
      <c r="G20" t="b">
        <f t="shared" si="6"/>
        <v>1</v>
      </c>
      <c r="H20" t="b">
        <f t="shared" si="6"/>
        <v>1</v>
      </c>
      <c r="I20" t="b">
        <f t="shared" si="6"/>
        <v>1</v>
      </c>
      <c r="J20" t="b">
        <f t="shared" si="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34"/>
  <sheetViews>
    <sheetView zoomScale="80" zoomScaleNormal="80" workbookViewId="0">
      <pane xSplit="3" ySplit="9" topLeftCell="D281" activePane="bottomRight" state="frozen"/>
      <selection pane="topRight" activeCell="D1" sqref="D1"/>
      <selection pane="bottomLeft" activeCell="A18" sqref="A18"/>
      <selection pane="bottomRight" activeCell="K297" sqref="K297"/>
    </sheetView>
  </sheetViews>
  <sheetFormatPr defaultRowHeight="12.75" x14ac:dyDescent="0.2"/>
  <cols>
    <col min="1" max="1" width="4.140625" style="134" customWidth="1"/>
    <col min="2" max="2" width="49.7109375" style="135" customWidth="1"/>
    <col min="3" max="3" width="18.7109375" style="135" customWidth="1"/>
    <col min="4" max="4" width="13.28515625" style="134" customWidth="1"/>
    <col min="5" max="5" width="16.85546875" style="134" customWidth="1"/>
    <col min="6" max="6" width="17.28515625" style="134" customWidth="1"/>
    <col min="7" max="7" width="14.7109375" style="134" customWidth="1"/>
    <col min="8" max="8" width="17.7109375" style="136" customWidth="1"/>
    <col min="9" max="9" width="17.140625" style="13" customWidth="1"/>
    <col min="10" max="10" width="14.28515625" style="137" customWidth="1"/>
    <col min="11" max="11" width="15.85546875" style="137" customWidth="1"/>
    <col min="12" max="12" width="16.140625" style="137" customWidth="1"/>
    <col min="13" max="13" width="17.5703125" style="137" customWidth="1"/>
    <col min="14" max="14" width="15.28515625" style="137" customWidth="1"/>
    <col min="15" max="15" width="16.42578125" style="137" customWidth="1"/>
    <col min="16" max="16" width="14" style="137" customWidth="1"/>
    <col min="17" max="17" width="13.42578125" style="137" customWidth="1"/>
    <col min="18" max="18" width="44.7109375" style="152" customWidth="1"/>
    <col min="19" max="16384" width="9.140625" style="13"/>
  </cols>
  <sheetData>
    <row r="1" spans="1:18" ht="23.25" x14ac:dyDescent="0.2">
      <c r="K1" s="404" t="s">
        <v>82</v>
      </c>
      <c r="L1" s="404"/>
      <c r="M1" s="404"/>
      <c r="N1" s="404"/>
      <c r="O1" s="404"/>
      <c r="P1" s="404"/>
      <c r="Q1" s="404"/>
      <c r="R1" s="30"/>
    </row>
    <row r="2" spans="1:18" ht="23.25" x14ac:dyDescent="0.2">
      <c r="K2" s="404" t="s">
        <v>36</v>
      </c>
      <c r="L2" s="404"/>
      <c r="M2" s="404"/>
      <c r="N2" s="404"/>
      <c r="O2" s="404"/>
      <c r="P2" s="404"/>
      <c r="Q2" s="404"/>
      <c r="R2" s="138"/>
    </row>
    <row r="3" spans="1:18" ht="23.25" x14ac:dyDescent="0.2">
      <c r="K3" s="404" t="s">
        <v>163</v>
      </c>
      <c r="L3" s="404"/>
      <c r="M3" s="404"/>
      <c r="N3" s="404"/>
      <c r="O3" s="404"/>
      <c r="P3" s="404"/>
      <c r="Q3" s="404"/>
      <c r="R3" s="138"/>
    </row>
    <row r="4" spans="1:18" ht="18.75" x14ac:dyDescent="0.2">
      <c r="L4" s="139"/>
      <c r="M4" s="140"/>
      <c r="N4" s="85"/>
      <c r="O4" s="85"/>
      <c r="P4" s="85"/>
      <c r="Q4" s="140"/>
      <c r="R4" s="138"/>
    </row>
    <row r="5" spans="1:18" ht="31.5" customHeight="1" x14ac:dyDescent="0.25">
      <c r="A5" s="405" t="s">
        <v>44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138"/>
    </row>
    <row r="6" spans="1:18" ht="17.25" customHeight="1" x14ac:dyDescent="0.2">
      <c r="A6" s="141"/>
      <c r="B6" s="142"/>
      <c r="C6" s="142"/>
      <c r="D6" s="141"/>
      <c r="E6" s="14"/>
      <c r="F6" s="141"/>
      <c r="G6" s="141"/>
      <c r="H6" s="143"/>
      <c r="I6" s="144"/>
      <c r="J6" s="145"/>
      <c r="K6" s="145"/>
      <c r="L6" s="145"/>
      <c r="M6" s="145"/>
      <c r="N6" s="145"/>
      <c r="O6" s="145"/>
      <c r="P6" s="145"/>
      <c r="Q6" s="145"/>
      <c r="R6" s="138"/>
    </row>
    <row r="7" spans="1:18" ht="33.75" customHeight="1" x14ac:dyDescent="0.2">
      <c r="A7" s="406" t="s">
        <v>119</v>
      </c>
      <c r="B7" s="407" t="s">
        <v>15</v>
      </c>
      <c r="C7" s="406" t="s">
        <v>16</v>
      </c>
      <c r="D7" s="406" t="s">
        <v>40</v>
      </c>
      <c r="E7" s="406"/>
      <c r="F7" s="406"/>
      <c r="G7" s="406"/>
      <c r="H7" s="406" t="s">
        <v>17</v>
      </c>
      <c r="I7" s="406" t="s">
        <v>37</v>
      </c>
      <c r="J7" s="408" t="s">
        <v>18</v>
      </c>
      <c r="K7" s="409"/>
      <c r="L7" s="409"/>
      <c r="M7" s="410"/>
      <c r="N7" s="411" t="s">
        <v>19</v>
      </c>
      <c r="O7" s="411"/>
      <c r="P7" s="411"/>
      <c r="Q7" s="411"/>
      <c r="R7" s="412" t="s">
        <v>120</v>
      </c>
    </row>
    <row r="8" spans="1:18" ht="17.25" customHeight="1" x14ac:dyDescent="0.2">
      <c r="A8" s="406"/>
      <c r="B8" s="407"/>
      <c r="C8" s="406"/>
      <c r="D8" s="406"/>
      <c r="E8" s="406"/>
      <c r="F8" s="406"/>
      <c r="G8" s="406"/>
      <c r="H8" s="406"/>
      <c r="I8" s="406"/>
      <c r="J8" s="413" t="s">
        <v>1</v>
      </c>
      <c r="K8" s="413" t="s">
        <v>2</v>
      </c>
      <c r="L8" s="415" t="s">
        <v>20</v>
      </c>
      <c r="M8" s="411" t="s">
        <v>3</v>
      </c>
      <c r="N8" s="411" t="s">
        <v>1</v>
      </c>
      <c r="O8" s="411"/>
      <c r="P8" s="411" t="s">
        <v>2</v>
      </c>
      <c r="Q8" s="411"/>
      <c r="R8" s="412"/>
    </row>
    <row r="9" spans="1:18" ht="60.75" customHeight="1" x14ac:dyDescent="0.2">
      <c r="A9" s="406"/>
      <c r="B9" s="407"/>
      <c r="C9" s="406"/>
      <c r="D9" s="146" t="s">
        <v>42</v>
      </c>
      <c r="E9" s="146" t="s">
        <v>43</v>
      </c>
      <c r="F9" s="146" t="s">
        <v>50</v>
      </c>
      <c r="G9" s="146" t="s">
        <v>41</v>
      </c>
      <c r="H9" s="406"/>
      <c r="I9" s="406"/>
      <c r="J9" s="414"/>
      <c r="K9" s="414"/>
      <c r="L9" s="416"/>
      <c r="M9" s="411"/>
      <c r="N9" s="102" t="s">
        <v>21</v>
      </c>
      <c r="O9" s="102" t="s">
        <v>22</v>
      </c>
      <c r="P9" s="102" t="s">
        <v>21</v>
      </c>
      <c r="Q9" s="102" t="s">
        <v>22</v>
      </c>
      <c r="R9" s="412"/>
    </row>
    <row r="10" spans="1:18" ht="17.25" customHeight="1" x14ac:dyDescent="0.2">
      <c r="A10" s="423" t="s">
        <v>5</v>
      </c>
      <c r="B10" s="424"/>
      <c r="C10" s="147"/>
      <c r="D10" s="148"/>
      <c r="E10" s="149"/>
      <c r="F10" s="148"/>
      <c r="G10" s="148"/>
      <c r="H10" s="150"/>
      <c r="I10" s="147"/>
      <c r="J10" s="151"/>
      <c r="K10" s="151"/>
      <c r="L10" s="151"/>
      <c r="M10" s="151"/>
      <c r="N10" s="147"/>
      <c r="O10" s="147"/>
      <c r="P10" s="147"/>
      <c r="Q10" s="147"/>
    </row>
    <row r="11" spans="1:18" ht="18" customHeight="1" x14ac:dyDescent="0.2">
      <c r="A11" s="417">
        <v>1</v>
      </c>
      <c r="B11" s="418" t="s">
        <v>0</v>
      </c>
      <c r="C11" s="43" t="s">
        <v>23</v>
      </c>
      <c r="D11" s="98">
        <v>995</v>
      </c>
      <c r="E11" s="98">
        <v>1395.19</v>
      </c>
      <c r="F11" s="44">
        <v>3.27</v>
      </c>
      <c r="G11" s="45">
        <v>0.5</v>
      </c>
      <c r="H11" s="153">
        <f>SUM(J11:L11)</f>
        <v>2708.7</v>
      </c>
      <c r="I11" s="47">
        <v>0</v>
      </c>
      <c r="J11" s="37">
        <v>624.70000000000005</v>
      </c>
      <c r="K11" s="37">
        <v>2084</v>
      </c>
      <c r="L11" s="49"/>
      <c r="M11" s="49">
        <f t="shared" ref="M11:M46" si="0">J11+K11+L11</f>
        <v>2708.7</v>
      </c>
      <c r="N11" s="59" t="s">
        <v>46</v>
      </c>
      <c r="O11" s="59" t="s">
        <v>56</v>
      </c>
      <c r="P11" s="59" t="s">
        <v>55</v>
      </c>
      <c r="Q11" s="99"/>
      <c r="R11" s="422"/>
    </row>
    <row r="12" spans="1:18" ht="17.25" customHeight="1" x14ac:dyDescent="0.2">
      <c r="A12" s="417"/>
      <c r="B12" s="418"/>
      <c r="C12" s="43" t="s">
        <v>24</v>
      </c>
      <c r="D12" s="154"/>
      <c r="E12" s="154"/>
      <c r="F12" s="44"/>
      <c r="G12" s="44"/>
      <c r="H12" s="153">
        <f>SUM(J12:L12)</f>
        <v>8202.0249999999996</v>
      </c>
      <c r="I12" s="47"/>
      <c r="J12" s="49"/>
      <c r="K12" s="49">
        <f>10910.725-627.7-2083.99+2.99</f>
        <v>8202.0249999999996</v>
      </c>
      <c r="L12" s="49"/>
      <c r="M12" s="49">
        <f t="shared" si="0"/>
        <v>8202.0249999999996</v>
      </c>
      <c r="N12" s="99"/>
      <c r="O12" s="99"/>
      <c r="P12" s="99"/>
      <c r="Q12" s="99" t="s">
        <v>48</v>
      </c>
      <c r="R12" s="422"/>
    </row>
    <row r="13" spans="1:18" ht="15" customHeight="1" x14ac:dyDescent="0.2">
      <c r="A13" s="417"/>
      <c r="B13" s="418"/>
      <c r="C13" s="43" t="s">
        <v>25</v>
      </c>
      <c r="D13" s="98"/>
      <c r="E13" s="98"/>
      <c r="F13" s="44"/>
      <c r="G13" s="44"/>
      <c r="H13" s="153">
        <f>SUM(J13:L13)</f>
        <v>0</v>
      </c>
      <c r="I13" s="47"/>
      <c r="J13" s="49"/>
      <c r="K13" s="49"/>
      <c r="L13" s="49"/>
      <c r="M13" s="49">
        <f t="shared" si="0"/>
        <v>0</v>
      </c>
      <c r="N13" s="99"/>
      <c r="O13" s="99"/>
      <c r="P13" s="99"/>
      <c r="Q13" s="99"/>
      <c r="R13" s="422"/>
    </row>
    <row r="14" spans="1:18" ht="15" customHeight="1" x14ac:dyDescent="0.2">
      <c r="A14" s="417"/>
      <c r="B14" s="418"/>
      <c r="C14" s="43" t="s">
        <v>38</v>
      </c>
      <c r="D14" s="98"/>
      <c r="E14" s="98"/>
      <c r="F14" s="44"/>
      <c r="G14" s="44"/>
      <c r="H14" s="153">
        <f>SUM(J14:L14)</f>
        <v>0</v>
      </c>
      <c r="I14" s="47"/>
      <c r="J14" s="49"/>
      <c r="K14" s="49"/>
      <c r="L14" s="49"/>
      <c r="M14" s="49">
        <f t="shared" si="0"/>
        <v>0</v>
      </c>
      <c r="N14" s="99"/>
      <c r="O14" s="99"/>
      <c r="P14" s="99"/>
      <c r="Q14" s="99"/>
      <c r="R14" s="422"/>
    </row>
    <row r="15" spans="1:18" ht="15" customHeight="1" x14ac:dyDescent="0.2">
      <c r="A15" s="417"/>
      <c r="B15" s="418"/>
      <c r="C15" s="43" t="s">
        <v>39</v>
      </c>
      <c r="D15" s="98"/>
      <c r="E15" s="98"/>
      <c r="F15" s="44"/>
      <c r="G15" s="44"/>
      <c r="H15" s="153">
        <f>SUM(J15:L15)</f>
        <v>0</v>
      </c>
      <c r="I15" s="47"/>
      <c r="J15" s="49"/>
      <c r="K15" s="49"/>
      <c r="L15" s="49"/>
      <c r="M15" s="49">
        <f t="shared" si="0"/>
        <v>0</v>
      </c>
      <c r="N15" s="99"/>
      <c r="O15" s="99"/>
      <c r="P15" s="99"/>
      <c r="Q15" s="99"/>
      <c r="R15" s="422"/>
    </row>
    <row r="16" spans="1:18" ht="15" customHeight="1" x14ac:dyDescent="0.2">
      <c r="A16" s="417"/>
      <c r="B16" s="418"/>
      <c r="C16" s="43" t="s">
        <v>26</v>
      </c>
      <c r="D16" s="38">
        <f t="shared" ref="D16:L16" si="1">SUM(D11:D15)</f>
        <v>995</v>
      </c>
      <c r="E16" s="38">
        <f t="shared" si="1"/>
        <v>1395.19</v>
      </c>
      <c r="F16" s="38">
        <f t="shared" si="1"/>
        <v>3.27</v>
      </c>
      <c r="G16" s="38">
        <f t="shared" si="1"/>
        <v>0.5</v>
      </c>
      <c r="H16" s="38">
        <f t="shared" si="1"/>
        <v>10910.724999999999</v>
      </c>
      <c r="I16" s="38">
        <f t="shared" si="1"/>
        <v>0</v>
      </c>
      <c r="J16" s="39">
        <f t="shared" si="1"/>
        <v>624.70000000000005</v>
      </c>
      <c r="K16" s="39">
        <f t="shared" si="1"/>
        <v>10286.025</v>
      </c>
      <c r="L16" s="39">
        <f t="shared" si="1"/>
        <v>0</v>
      </c>
      <c r="M16" s="40">
        <f t="shared" si="0"/>
        <v>10910.725</v>
      </c>
      <c r="N16" s="99"/>
      <c r="O16" s="99"/>
      <c r="P16" s="99"/>
      <c r="Q16" s="99"/>
      <c r="R16" s="422"/>
    </row>
    <row r="17" spans="1:18" ht="18.75" customHeight="1" x14ac:dyDescent="0.2">
      <c r="A17" s="417">
        <v>2</v>
      </c>
      <c r="B17" s="418" t="s">
        <v>92</v>
      </c>
      <c r="C17" s="43" t="s">
        <v>23</v>
      </c>
      <c r="D17" s="98">
        <v>298</v>
      </c>
      <c r="E17" s="76">
        <v>1157</v>
      </c>
      <c r="F17" s="44">
        <v>1.72</v>
      </c>
      <c r="G17" s="45">
        <v>1.55</v>
      </c>
      <c r="H17" s="46">
        <f>I17+J17+K17</f>
        <v>8466.9976399999996</v>
      </c>
      <c r="I17" s="47">
        <v>1167.32</v>
      </c>
      <c r="J17" s="49">
        <v>676.80664999999999</v>
      </c>
      <c r="K17" s="49">
        <v>6622.8709900000003</v>
      </c>
      <c r="L17" s="49"/>
      <c r="M17" s="49">
        <f t="shared" si="0"/>
        <v>7299.6776399999999</v>
      </c>
      <c r="N17" s="99">
        <v>2017</v>
      </c>
      <c r="O17" s="59" t="s">
        <v>53</v>
      </c>
      <c r="P17" s="99" t="s">
        <v>57</v>
      </c>
      <c r="Q17" s="99"/>
      <c r="R17" s="425" t="s">
        <v>98</v>
      </c>
    </row>
    <row r="18" spans="1:18" ht="17.25" customHeight="1" x14ac:dyDescent="0.2">
      <c r="A18" s="417"/>
      <c r="B18" s="418"/>
      <c r="C18" s="43" t="s">
        <v>24</v>
      </c>
      <c r="D18" s="98"/>
      <c r="E18" s="98"/>
      <c r="F18" s="44"/>
      <c r="G18" s="44"/>
      <c r="H18" s="46">
        <f>I18+J18+K18</f>
        <v>1359.1273599999995</v>
      </c>
      <c r="I18" s="47"/>
      <c r="J18" s="49"/>
      <c r="K18" s="49">
        <f>9626.125-I17-J17-K17+200</f>
        <v>1359.1273599999995</v>
      </c>
      <c r="L18" s="49"/>
      <c r="M18" s="49">
        <f t="shared" si="0"/>
        <v>1359.1273599999995</v>
      </c>
      <c r="N18" s="99"/>
      <c r="O18" s="99"/>
      <c r="P18" s="99"/>
      <c r="Q18" s="99" t="s">
        <v>47</v>
      </c>
      <c r="R18" s="425"/>
    </row>
    <row r="19" spans="1:18" ht="17.25" customHeight="1" x14ac:dyDescent="0.2">
      <c r="A19" s="417"/>
      <c r="B19" s="418"/>
      <c r="C19" s="43">
        <v>2021</v>
      </c>
      <c r="D19" s="98"/>
      <c r="E19" s="98"/>
      <c r="F19" s="44"/>
      <c r="G19" s="44"/>
      <c r="H19" s="46">
        <f>I19+J19+K19</f>
        <v>0</v>
      </c>
      <c r="I19" s="47"/>
      <c r="J19" s="49"/>
      <c r="K19" s="49"/>
      <c r="L19" s="49"/>
      <c r="M19" s="49">
        <f t="shared" si="0"/>
        <v>0</v>
      </c>
      <c r="N19" s="99"/>
      <c r="O19" s="99"/>
      <c r="P19" s="99"/>
      <c r="Q19" s="99"/>
      <c r="R19" s="425"/>
    </row>
    <row r="20" spans="1:18" ht="17.25" customHeight="1" x14ac:dyDescent="0.2">
      <c r="A20" s="417"/>
      <c r="B20" s="418"/>
      <c r="C20" s="43">
        <v>2022</v>
      </c>
      <c r="D20" s="98"/>
      <c r="E20" s="98"/>
      <c r="F20" s="44"/>
      <c r="G20" s="44"/>
      <c r="H20" s="46">
        <f>I20+J20+K20</f>
        <v>0</v>
      </c>
      <c r="I20" s="47"/>
      <c r="J20" s="49"/>
      <c r="K20" s="49"/>
      <c r="L20" s="49"/>
      <c r="M20" s="49">
        <f t="shared" si="0"/>
        <v>0</v>
      </c>
      <c r="N20" s="99"/>
      <c r="O20" s="99"/>
      <c r="P20" s="99"/>
      <c r="Q20" s="99"/>
      <c r="R20" s="425"/>
    </row>
    <row r="21" spans="1:18" ht="15" customHeight="1" x14ac:dyDescent="0.2">
      <c r="A21" s="417"/>
      <c r="B21" s="418"/>
      <c r="C21" s="43">
        <v>2023</v>
      </c>
      <c r="D21" s="98"/>
      <c r="E21" s="98"/>
      <c r="F21" s="50"/>
      <c r="G21" s="51"/>
      <c r="H21" s="46">
        <f>I21+J21+K21</f>
        <v>0</v>
      </c>
      <c r="I21" s="52"/>
      <c r="J21" s="53"/>
      <c r="K21" s="54"/>
      <c r="L21" s="54"/>
      <c r="M21" s="49">
        <f t="shared" si="0"/>
        <v>0</v>
      </c>
      <c r="N21" s="98"/>
      <c r="O21" s="98"/>
      <c r="P21" s="99"/>
      <c r="Q21" s="99"/>
      <c r="R21" s="425"/>
    </row>
    <row r="22" spans="1:18" ht="17.25" customHeight="1" x14ac:dyDescent="0.2">
      <c r="A22" s="417"/>
      <c r="B22" s="418"/>
      <c r="C22" s="43" t="s">
        <v>26</v>
      </c>
      <c r="D22" s="41">
        <f>SUM(D17:D21)</f>
        <v>298</v>
      </c>
      <c r="E22" s="41">
        <f>SUM(E17:E21)</f>
        <v>1157</v>
      </c>
      <c r="F22" s="41">
        <f t="shared" ref="F22:L22" si="2">SUM(F17:F21)</f>
        <v>1.72</v>
      </c>
      <c r="G22" s="41">
        <f t="shared" si="2"/>
        <v>1.55</v>
      </c>
      <c r="H22" s="41">
        <f>SUM(H17:H21)</f>
        <v>9826.125</v>
      </c>
      <c r="I22" s="41">
        <f t="shared" si="2"/>
        <v>1167.32</v>
      </c>
      <c r="J22" s="42">
        <f t="shared" si="2"/>
        <v>676.80664999999999</v>
      </c>
      <c r="K22" s="42">
        <f>SUM(K17:K21)</f>
        <v>7981.9983499999998</v>
      </c>
      <c r="L22" s="42">
        <f t="shared" si="2"/>
        <v>0</v>
      </c>
      <c r="M22" s="49">
        <f t="shared" si="0"/>
        <v>8658.8050000000003</v>
      </c>
      <c r="N22" s="99"/>
      <c r="O22" s="99"/>
      <c r="P22" s="99"/>
      <c r="Q22" s="99"/>
      <c r="R22" s="425"/>
    </row>
    <row r="23" spans="1:18" ht="17.25" customHeight="1" x14ac:dyDescent="0.2">
      <c r="A23" s="417">
        <v>3</v>
      </c>
      <c r="B23" s="418" t="s">
        <v>90</v>
      </c>
      <c r="C23" s="43" t="s">
        <v>23</v>
      </c>
      <c r="D23" s="98">
        <v>2462</v>
      </c>
      <c r="E23" s="98">
        <v>4183.07</v>
      </c>
      <c r="F23" s="44">
        <v>8.5299999999999994</v>
      </c>
      <c r="G23" s="45">
        <v>5.5</v>
      </c>
      <c r="H23" s="46">
        <f>SUM(I23:L23)</f>
        <v>3107.1201799999999</v>
      </c>
      <c r="I23" s="47"/>
      <c r="J23" s="48">
        <v>3107.1201799999999</v>
      </c>
      <c r="K23" s="48"/>
      <c r="L23" s="49"/>
      <c r="M23" s="49">
        <f t="shared" si="0"/>
        <v>3107.1201799999999</v>
      </c>
      <c r="N23" s="99" t="s">
        <v>46</v>
      </c>
      <c r="O23" s="99"/>
      <c r="P23" s="99"/>
      <c r="Q23" s="99"/>
      <c r="R23" s="419" t="s">
        <v>102</v>
      </c>
    </row>
    <row r="24" spans="1:18" ht="17.25" customHeight="1" x14ac:dyDescent="0.2">
      <c r="A24" s="417"/>
      <c r="B24" s="418"/>
      <c r="C24" s="43" t="s">
        <v>24</v>
      </c>
      <c r="D24" s="98"/>
      <c r="E24" s="98"/>
      <c r="F24" s="44"/>
      <c r="G24" s="44"/>
      <c r="H24" s="46">
        <f>SUM(I24:L24)</f>
        <v>64000</v>
      </c>
      <c r="I24" s="47"/>
      <c r="J24" s="48">
        <f>4000+3000</f>
        <v>7000</v>
      </c>
      <c r="K24" s="48">
        <v>57000</v>
      </c>
      <c r="L24" s="49"/>
      <c r="M24" s="49">
        <f t="shared" si="0"/>
        <v>64000</v>
      </c>
      <c r="N24" s="99"/>
      <c r="O24" s="99" t="s">
        <v>54</v>
      </c>
      <c r="P24" s="99" t="s">
        <v>49</v>
      </c>
      <c r="Q24" s="99" t="s">
        <v>31</v>
      </c>
      <c r="R24" s="420"/>
    </row>
    <row r="25" spans="1:18" ht="17.25" customHeight="1" x14ac:dyDescent="0.2">
      <c r="A25" s="417"/>
      <c r="B25" s="418"/>
      <c r="C25" s="43">
        <v>2021</v>
      </c>
      <c r="D25" s="98"/>
      <c r="E25" s="98"/>
      <c r="F25" s="44"/>
      <c r="G25" s="44"/>
      <c r="H25" s="46">
        <f>SUM(I25:L25)</f>
        <v>0</v>
      </c>
      <c r="I25" s="47"/>
      <c r="J25" s="49"/>
      <c r="K25" s="49"/>
      <c r="L25" s="49"/>
      <c r="M25" s="49">
        <f t="shared" si="0"/>
        <v>0</v>
      </c>
      <c r="N25" s="99"/>
      <c r="O25" s="99"/>
      <c r="P25" s="99"/>
      <c r="Q25" s="99"/>
      <c r="R25" s="420"/>
    </row>
    <row r="26" spans="1:18" ht="17.25" customHeight="1" x14ac:dyDescent="0.2">
      <c r="A26" s="417"/>
      <c r="B26" s="418"/>
      <c r="C26" s="43">
        <v>2022</v>
      </c>
      <c r="D26" s="98"/>
      <c r="E26" s="98"/>
      <c r="F26" s="44"/>
      <c r="G26" s="44"/>
      <c r="H26" s="46">
        <f>SUM(I26:L26)</f>
        <v>0</v>
      </c>
      <c r="I26" s="47"/>
      <c r="J26" s="49"/>
      <c r="K26" s="49"/>
      <c r="L26" s="49"/>
      <c r="M26" s="49">
        <f t="shared" si="0"/>
        <v>0</v>
      </c>
      <c r="N26" s="99"/>
      <c r="O26" s="99"/>
      <c r="P26" s="99"/>
      <c r="Q26" s="99"/>
      <c r="R26" s="420"/>
    </row>
    <row r="27" spans="1:18" ht="17.25" customHeight="1" x14ac:dyDescent="0.2">
      <c r="A27" s="417"/>
      <c r="B27" s="418"/>
      <c r="C27" s="43">
        <v>2023</v>
      </c>
      <c r="D27" s="98"/>
      <c r="E27" s="98"/>
      <c r="F27" s="50">
        <f>SUM(F23)</f>
        <v>8.5299999999999994</v>
      </c>
      <c r="G27" s="51"/>
      <c r="H27" s="46">
        <f>SUM(I27:L27)</f>
        <v>0</v>
      </c>
      <c r="I27" s="52"/>
      <c r="J27" s="53"/>
      <c r="K27" s="54"/>
      <c r="L27" s="54"/>
      <c r="M27" s="49">
        <f t="shared" si="0"/>
        <v>0</v>
      </c>
      <c r="N27" s="98"/>
      <c r="O27" s="98"/>
      <c r="P27" s="99"/>
      <c r="Q27" s="99"/>
      <c r="R27" s="420"/>
    </row>
    <row r="28" spans="1:18" ht="17.25" customHeight="1" x14ac:dyDescent="0.2">
      <c r="A28" s="417"/>
      <c r="B28" s="418"/>
      <c r="C28" s="43" t="s">
        <v>26</v>
      </c>
      <c r="D28" s="41">
        <f t="shared" ref="D28:L28" si="3">SUM(D23:D27)</f>
        <v>2462</v>
      </c>
      <c r="E28" s="41">
        <f t="shared" si="3"/>
        <v>4183.07</v>
      </c>
      <c r="F28" s="41">
        <f t="shared" si="3"/>
        <v>17.059999999999999</v>
      </c>
      <c r="G28" s="41">
        <f t="shared" si="3"/>
        <v>5.5</v>
      </c>
      <c r="H28" s="41">
        <f t="shared" si="3"/>
        <v>67107.120179999998</v>
      </c>
      <c r="I28" s="41">
        <f t="shared" si="3"/>
        <v>0</v>
      </c>
      <c r="J28" s="42">
        <f t="shared" si="3"/>
        <v>10107.12018</v>
      </c>
      <c r="K28" s="42">
        <f t="shared" si="3"/>
        <v>57000</v>
      </c>
      <c r="L28" s="42">
        <f t="shared" si="3"/>
        <v>0</v>
      </c>
      <c r="M28" s="49">
        <f t="shared" si="0"/>
        <v>67107.120179999998</v>
      </c>
      <c r="N28" s="99"/>
      <c r="O28" s="99"/>
      <c r="P28" s="99"/>
      <c r="Q28" s="99"/>
      <c r="R28" s="421"/>
    </row>
    <row r="29" spans="1:18" ht="15.75" customHeight="1" x14ac:dyDescent="0.2">
      <c r="A29" s="417">
        <v>4</v>
      </c>
      <c r="B29" s="418" t="s">
        <v>80</v>
      </c>
      <c r="C29" s="43" t="s">
        <v>23</v>
      </c>
      <c r="D29" s="98"/>
      <c r="E29" s="98"/>
      <c r="F29" s="44"/>
      <c r="G29" s="45"/>
      <c r="H29" s="46">
        <f>SUM(I29:L29)</f>
        <v>0</v>
      </c>
      <c r="I29" s="47"/>
      <c r="J29" s="49"/>
      <c r="K29" s="49"/>
      <c r="L29" s="49"/>
      <c r="M29" s="49">
        <f t="shared" si="0"/>
        <v>0</v>
      </c>
      <c r="N29" s="99"/>
      <c r="O29" s="99"/>
      <c r="P29" s="99"/>
      <c r="Q29" s="99"/>
      <c r="R29" s="422"/>
    </row>
    <row r="30" spans="1:18" ht="15.75" customHeight="1" x14ac:dyDescent="0.2">
      <c r="A30" s="417"/>
      <c r="B30" s="418"/>
      <c r="C30" s="43" t="s">
        <v>24</v>
      </c>
      <c r="D30" s="55"/>
      <c r="E30" s="55"/>
      <c r="F30" s="55"/>
      <c r="G30" s="55"/>
      <c r="H30" s="46">
        <f>SUM(I30:L30)</f>
        <v>0</v>
      </c>
      <c r="I30" s="47"/>
      <c r="J30" s="49"/>
      <c r="K30" s="49"/>
      <c r="L30" s="49"/>
      <c r="M30" s="49">
        <f t="shared" si="0"/>
        <v>0</v>
      </c>
      <c r="N30" s="56"/>
      <c r="O30" s="99"/>
      <c r="P30" s="99"/>
      <c r="Q30" s="99"/>
      <c r="R30" s="422"/>
    </row>
    <row r="31" spans="1:18" ht="15.75" customHeight="1" x14ac:dyDescent="0.2">
      <c r="A31" s="417"/>
      <c r="B31" s="418"/>
      <c r="C31" s="43">
        <v>2021</v>
      </c>
      <c r="D31" s="98">
        <f>237+385</f>
        <v>622</v>
      </c>
      <c r="E31" s="57"/>
      <c r="F31" s="58"/>
      <c r="G31" s="44"/>
      <c r="H31" s="46">
        <f>SUM(I31:L31)</f>
        <v>0</v>
      </c>
      <c r="I31" s="47"/>
      <c r="J31" s="49"/>
      <c r="K31" s="49"/>
      <c r="L31" s="49"/>
      <c r="M31" s="49">
        <f t="shared" si="0"/>
        <v>0</v>
      </c>
      <c r="N31" s="99"/>
      <c r="O31" s="99"/>
      <c r="P31" s="99"/>
      <c r="Q31" s="99"/>
      <c r="R31" s="422"/>
    </row>
    <row r="32" spans="1:18" ht="15.75" customHeight="1" x14ac:dyDescent="0.2">
      <c r="A32" s="417"/>
      <c r="B32" s="418"/>
      <c r="C32" s="43">
        <v>2022</v>
      </c>
      <c r="D32" s="98"/>
      <c r="E32" s="57">
        <f>1185.734+237.51</f>
        <v>1423.2439999999999</v>
      </c>
      <c r="F32" s="58">
        <f>3.337</f>
        <v>3.3370000000000002</v>
      </c>
      <c r="G32" s="44">
        <f>7+5.38</f>
        <v>12.379999999999999</v>
      </c>
      <c r="H32" s="46">
        <f>SUM(I32:L32)</f>
        <v>37858</v>
      </c>
      <c r="I32" s="47"/>
      <c r="J32" s="49">
        <v>12800</v>
      </c>
      <c r="K32" s="48">
        <v>25058</v>
      </c>
      <c r="L32" s="49"/>
      <c r="M32" s="49">
        <f t="shared" si="0"/>
        <v>37858</v>
      </c>
      <c r="N32" s="99" t="s">
        <v>28</v>
      </c>
      <c r="O32" s="99" t="s">
        <v>53</v>
      </c>
      <c r="P32" s="99" t="s">
        <v>57</v>
      </c>
      <c r="Q32" s="99"/>
      <c r="R32" s="422"/>
    </row>
    <row r="33" spans="1:18" ht="15.75" customHeight="1" x14ac:dyDescent="0.2">
      <c r="A33" s="417"/>
      <c r="B33" s="418"/>
      <c r="C33" s="43">
        <v>2023</v>
      </c>
      <c r="D33" s="98"/>
      <c r="E33" s="98"/>
      <c r="F33" s="50"/>
      <c r="G33" s="51"/>
      <c r="H33" s="46">
        <f>SUM(I33:L33)</f>
        <v>20000</v>
      </c>
      <c r="I33" s="52"/>
      <c r="J33" s="53"/>
      <c r="K33" s="155">
        <v>20000</v>
      </c>
      <c r="L33" s="54"/>
      <c r="M33" s="49">
        <f t="shared" si="0"/>
        <v>20000</v>
      </c>
      <c r="N33" s="98"/>
      <c r="O33" s="98"/>
      <c r="P33" s="99"/>
      <c r="Q33" s="99" t="s">
        <v>54</v>
      </c>
      <c r="R33" s="422"/>
    </row>
    <row r="34" spans="1:18" ht="15" customHeight="1" x14ac:dyDescent="0.2">
      <c r="A34" s="417"/>
      <c r="B34" s="418"/>
      <c r="C34" s="43" t="s">
        <v>26</v>
      </c>
      <c r="D34" s="41">
        <f t="shared" ref="D34:L34" si="4">SUM(D29:D33)</f>
        <v>622</v>
      </c>
      <c r="E34" s="41">
        <f t="shared" si="4"/>
        <v>1423.2439999999999</v>
      </c>
      <c r="F34" s="41">
        <f t="shared" si="4"/>
        <v>3.3370000000000002</v>
      </c>
      <c r="G34" s="41">
        <f t="shared" si="4"/>
        <v>12.379999999999999</v>
      </c>
      <c r="H34" s="41">
        <f t="shared" si="4"/>
        <v>57858</v>
      </c>
      <c r="I34" s="41">
        <f t="shared" si="4"/>
        <v>0</v>
      </c>
      <c r="J34" s="41">
        <f t="shared" si="4"/>
        <v>12800</v>
      </c>
      <c r="K34" s="41">
        <f t="shared" si="4"/>
        <v>45058</v>
      </c>
      <c r="L34" s="41">
        <f t="shared" si="4"/>
        <v>0</v>
      </c>
      <c r="M34" s="49">
        <f t="shared" si="0"/>
        <v>57858</v>
      </c>
      <c r="N34" s="99"/>
      <c r="O34" s="99"/>
      <c r="P34" s="99"/>
      <c r="Q34" s="99"/>
      <c r="R34" s="422"/>
    </row>
    <row r="35" spans="1:18" ht="15" customHeight="1" x14ac:dyDescent="0.2">
      <c r="A35" s="429">
        <v>5</v>
      </c>
      <c r="B35" s="432" t="s">
        <v>70</v>
      </c>
      <c r="C35" s="43" t="s">
        <v>23</v>
      </c>
      <c r="D35" s="41">
        <v>1429</v>
      </c>
      <c r="E35" s="41">
        <v>7275</v>
      </c>
      <c r="F35" s="41">
        <f>25885.6/1000</f>
        <v>25.8856</v>
      </c>
      <c r="G35" s="41">
        <v>20.07</v>
      </c>
      <c r="H35" s="46">
        <f>SUM(I35:L35)</f>
        <v>207392.74000000002</v>
      </c>
      <c r="I35" s="41">
        <v>202848.23</v>
      </c>
      <c r="J35" s="42"/>
      <c r="K35" s="41">
        <v>4544.51</v>
      </c>
      <c r="L35" s="42"/>
      <c r="M35" s="49">
        <f t="shared" si="0"/>
        <v>4544.51</v>
      </c>
      <c r="N35" s="99">
        <v>2012</v>
      </c>
      <c r="O35" s="99">
        <v>2017</v>
      </c>
      <c r="P35" s="99">
        <v>2018</v>
      </c>
      <c r="Q35" s="59">
        <v>43556</v>
      </c>
      <c r="R35" s="422"/>
    </row>
    <row r="36" spans="1:18" ht="15" customHeight="1" x14ac:dyDescent="0.2">
      <c r="A36" s="430"/>
      <c r="B36" s="433"/>
      <c r="C36" s="43" t="s">
        <v>24</v>
      </c>
      <c r="D36" s="41"/>
      <c r="E36" s="41"/>
      <c r="F36" s="41"/>
      <c r="G36" s="41"/>
      <c r="H36" s="46">
        <f>SUM(I36:L36)</f>
        <v>0</v>
      </c>
      <c r="I36" s="41"/>
      <c r="J36" s="42"/>
      <c r="K36" s="42"/>
      <c r="L36" s="42"/>
      <c r="M36" s="49">
        <f t="shared" si="0"/>
        <v>0</v>
      </c>
      <c r="N36" s="99"/>
      <c r="O36" s="99"/>
      <c r="P36" s="99"/>
      <c r="Q36" s="99"/>
      <c r="R36" s="422"/>
    </row>
    <row r="37" spans="1:18" ht="15" customHeight="1" x14ac:dyDescent="0.2">
      <c r="A37" s="430"/>
      <c r="B37" s="433"/>
      <c r="C37" s="43">
        <v>2021</v>
      </c>
      <c r="D37" s="41"/>
      <c r="E37" s="41"/>
      <c r="F37" s="41"/>
      <c r="G37" s="41"/>
      <c r="H37" s="46">
        <f>SUM(I37:L37)</f>
        <v>0</v>
      </c>
      <c r="I37" s="41"/>
      <c r="J37" s="42"/>
      <c r="K37" s="42"/>
      <c r="L37" s="42"/>
      <c r="M37" s="49">
        <f t="shared" si="0"/>
        <v>0</v>
      </c>
      <c r="N37" s="99"/>
      <c r="O37" s="99"/>
      <c r="P37" s="99"/>
      <c r="Q37" s="99"/>
      <c r="R37" s="422"/>
    </row>
    <row r="38" spans="1:18" ht="15" customHeight="1" x14ac:dyDescent="0.2">
      <c r="A38" s="430"/>
      <c r="B38" s="433"/>
      <c r="C38" s="43">
        <v>2022</v>
      </c>
      <c r="D38" s="41"/>
      <c r="E38" s="41"/>
      <c r="F38" s="41"/>
      <c r="G38" s="41"/>
      <c r="H38" s="46">
        <f>SUM(I38:L38)</f>
        <v>0</v>
      </c>
      <c r="I38" s="41"/>
      <c r="J38" s="42"/>
      <c r="K38" s="42"/>
      <c r="L38" s="42"/>
      <c r="M38" s="49">
        <f t="shared" si="0"/>
        <v>0</v>
      </c>
      <c r="N38" s="99"/>
      <c r="O38" s="99"/>
      <c r="P38" s="99"/>
      <c r="Q38" s="99"/>
      <c r="R38" s="422"/>
    </row>
    <row r="39" spans="1:18" ht="15" customHeight="1" x14ac:dyDescent="0.2">
      <c r="A39" s="430"/>
      <c r="B39" s="433"/>
      <c r="C39" s="43">
        <v>2023</v>
      </c>
      <c r="D39" s="41"/>
      <c r="E39" s="41"/>
      <c r="F39" s="41"/>
      <c r="G39" s="41"/>
      <c r="H39" s="46">
        <f>SUM(I39:L39)</f>
        <v>0</v>
      </c>
      <c r="I39" s="41"/>
      <c r="J39" s="42"/>
      <c r="K39" s="42"/>
      <c r="L39" s="42"/>
      <c r="M39" s="49">
        <f t="shared" si="0"/>
        <v>0</v>
      </c>
      <c r="N39" s="99"/>
      <c r="O39" s="99"/>
      <c r="P39" s="99"/>
      <c r="Q39" s="99"/>
      <c r="R39" s="422"/>
    </row>
    <row r="40" spans="1:18" ht="18.75" customHeight="1" x14ac:dyDescent="0.2">
      <c r="A40" s="431"/>
      <c r="B40" s="434"/>
      <c r="C40" s="43" t="s">
        <v>26</v>
      </c>
      <c r="D40" s="41">
        <f>SUM(D35:D39)</f>
        <v>1429</v>
      </c>
      <c r="E40" s="41">
        <f t="shared" ref="E40:L40" si="5">SUM(E35:E39)</f>
        <v>7275</v>
      </c>
      <c r="F40" s="41">
        <f t="shared" si="5"/>
        <v>25.8856</v>
      </c>
      <c r="G40" s="41">
        <f t="shared" si="5"/>
        <v>20.07</v>
      </c>
      <c r="H40" s="41">
        <f t="shared" si="5"/>
        <v>207392.74000000002</v>
      </c>
      <c r="I40" s="41">
        <f t="shared" si="5"/>
        <v>202848.23</v>
      </c>
      <c r="J40" s="41">
        <f t="shared" si="5"/>
        <v>0</v>
      </c>
      <c r="K40" s="41">
        <f t="shared" si="5"/>
        <v>4544.51</v>
      </c>
      <c r="L40" s="41">
        <f t="shared" si="5"/>
        <v>0</v>
      </c>
      <c r="M40" s="49">
        <f t="shared" si="0"/>
        <v>4544.51</v>
      </c>
      <c r="N40" s="99"/>
      <c r="O40" s="99"/>
      <c r="P40" s="99"/>
      <c r="Q40" s="99"/>
      <c r="R40" s="422"/>
    </row>
    <row r="41" spans="1:18" ht="15" customHeight="1" x14ac:dyDescent="0.2">
      <c r="A41" s="429">
        <v>6</v>
      </c>
      <c r="B41" s="432" t="s">
        <v>103</v>
      </c>
      <c r="C41" s="43" t="s">
        <v>23</v>
      </c>
      <c r="D41" s="41"/>
      <c r="E41" s="41"/>
      <c r="F41" s="41"/>
      <c r="G41" s="41"/>
      <c r="H41" s="46">
        <f>SUM(I41:L41)</f>
        <v>0</v>
      </c>
      <c r="I41" s="41"/>
      <c r="J41" s="42"/>
      <c r="K41" s="41"/>
      <c r="L41" s="42"/>
      <c r="M41" s="49">
        <f t="shared" si="0"/>
        <v>0</v>
      </c>
      <c r="N41" s="99"/>
      <c r="O41" s="99"/>
      <c r="P41" s="99"/>
      <c r="Q41" s="59"/>
      <c r="R41" s="422"/>
    </row>
    <row r="42" spans="1:18" ht="15" customHeight="1" x14ac:dyDescent="0.2">
      <c r="A42" s="430"/>
      <c r="B42" s="433"/>
      <c r="C42" s="43" t="s">
        <v>24</v>
      </c>
      <c r="D42" s="41"/>
      <c r="E42" s="41"/>
      <c r="F42" s="41"/>
      <c r="G42" s="41"/>
      <c r="H42" s="46">
        <f>SUM(I42:L42)</f>
        <v>0</v>
      </c>
      <c r="I42" s="41"/>
      <c r="J42" s="42">
        <v>0</v>
      </c>
      <c r="K42" s="42"/>
      <c r="L42" s="42"/>
      <c r="M42" s="49">
        <f t="shared" si="0"/>
        <v>0</v>
      </c>
      <c r="N42" s="99"/>
      <c r="O42" s="99"/>
      <c r="P42" s="99"/>
      <c r="Q42" s="99"/>
      <c r="R42" s="422"/>
    </row>
    <row r="43" spans="1:18" ht="15" customHeight="1" x14ac:dyDescent="0.2">
      <c r="A43" s="430"/>
      <c r="B43" s="433"/>
      <c r="C43" s="43">
        <v>2021</v>
      </c>
      <c r="D43" s="41">
        <v>220</v>
      </c>
      <c r="E43" s="41">
        <v>1100</v>
      </c>
      <c r="F43" s="41">
        <v>2.89</v>
      </c>
      <c r="G43" s="41">
        <v>0.5</v>
      </c>
      <c r="H43" s="46">
        <f>SUM(I43:L43)</f>
        <v>2450</v>
      </c>
      <c r="I43" s="41"/>
      <c r="J43" s="42">
        <v>800</v>
      </c>
      <c r="K43" s="42">
        <v>1650</v>
      </c>
      <c r="L43" s="42"/>
      <c r="M43" s="49">
        <f t="shared" si="0"/>
        <v>2450</v>
      </c>
      <c r="N43" s="99" t="s">
        <v>28</v>
      </c>
      <c r="O43" s="99" t="s">
        <v>51</v>
      </c>
      <c r="P43" s="99" t="s">
        <v>53</v>
      </c>
      <c r="Q43" s="99" t="s">
        <v>31</v>
      </c>
      <c r="R43" s="422"/>
    </row>
    <row r="44" spans="1:18" ht="15" customHeight="1" x14ac:dyDescent="0.2">
      <c r="A44" s="430"/>
      <c r="B44" s="433"/>
      <c r="C44" s="43">
        <v>2022</v>
      </c>
      <c r="D44" s="41"/>
      <c r="E44" s="41"/>
      <c r="F44" s="41"/>
      <c r="G44" s="41"/>
      <c r="H44" s="46">
        <f>SUM(I44:L44)</f>
        <v>0</v>
      </c>
      <c r="I44" s="41"/>
      <c r="J44" s="42"/>
      <c r="K44" s="42"/>
      <c r="L44" s="42"/>
      <c r="M44" s="49">
        <f t="shared" si="0"/>
        <v>0</v>
      </c>
      <c r="N44" s="99"/>
      <c r="O44" s="99"/>
      <c r="P44" s="99"/>
      <c r="Q44" s="99"/>
      <c r="R44" s="422"/>
    </row>
    <row r="45" spans="1:18" ht="15" customHeight="1" x14ac:dyDescent="0.2">
      <c r="A45" s="430"/>
      <c r="B45" s="433"/>
      <c r="C45" s="43">
        <v>2023</v>
      </c>
      <c r="D45" s="41"/>
      <c r="E45" s="41"/>
      <c r="F45" s="41"/>
      <c r="G45" s="41"/>
      <c r="H45" s="46">
        <f>SUM(I45:L45)</f>
        <v>0</v>
      </c>
      <c r="I45" s="41"/>
      <c r="J45" s="42"/>
      <c r="K45" s="42"/>
      <c r="L45" s="42"/>
      <c r="M45" s="49">
        <f t="shared" si="0"/>
        <v>0</v>
      </c>
      <c r="N45" s="99"/>
      <c r="O45" s="99"/>
      <c r="P45" s="99"/>
      <c r="Q45" s="99"/>
      <c r="R45" s="422"/>
    </row>
    <row r="46" spans="1:18" ht="18.75" customHeight="1" x14ac:dyDescent="0.2">
      <c r="A46" s="431"/>
      <c r="B46" s="434"/>
      <c r="C46" s="43" t="s">
        <v>26</v>
      </c>
      <c r="D46" s="41">
        <f>SUM(D41:D45)</f>
        <v>220</v>
      </c>
      <c r="E46" s="41">
        <f t="shared" ref="E46:L46" si="6">SUM(E41:E45)</f>
        <v>1100</v>
      </c>
      <c r="F46" s="41">
        <f t="shared" si="6"/>
        <v>2.89</v>
      </c>
      <c r="G46" s="41">
        <f t="shared" si="6"/>
        <v>0.5</v>
      </c>
      <c r="H46" s="41">
        <f t="shared" si="6"/>
        <v>2450</v>
      </c>
      <c r="I46" s="41">
        <f t="shared" si="6"/>
        <v>0</v>
      </c>
      <c r="J46" s="41">
        <f t="shared" si="6"/>
        <v>800</v>
      </c>
      <c r="K46" s="41">
        <f t="shared" si="6"/>
        <v>1650</v>
      </c>
      <c r="L46" s="41">
        <f t="shared" si="6"/>
        <v>0</v>
      </c>
      <c r="M46" s="49">
        <f t="shared" si="0"/>
        <v>2450</v>
      </c>
      <c r="N46" s="99"/>
      <c r="O46" s="99"/>
      <c r="P46" s="99"/>
      <c r="Q46" s="99"/>
      <c r="R46" s="422"/>
    </row>
    <row r="47" spans="1:18" x14ac:dyDescent="0.2">
      <c r="A47" s="426" t="s">
        <v>29</v>
      </c>
      <c r="B47" s="426"/>
      <c r="C47" s="43" t="s">
        <v>23</v>
      </c>
      <c r="D47" s="156">
        <f t="shared" ref="D47:M47" si="7">SUMIF($C11:$C46,"2019",D11:D46)</f>
        <v>5184</v>
      </c>
      <c r="E47" s="156">
        <f t="shared" si="7"/>
        <v>14010.26</v>
      </c>
      <c r="F47" s="156">
        <f t="shared" si="7"/>
        <v>39.4056</v>
      </c>
      <c r="G47" s="156">
        <f t="shared" si="7"/>
        <v>27.62</v>
      </c>
      <c r="H47" s="38">
        <f t="shared" si="7"/>
        <v>221675.55782000002</v>
      </c>
      <c r="I47" s="38">
        <f t="shared" si="7"/>
        <v>204015.55000000002</v>
      </c>
      <c r="J47" s="38">
        <f t="shared" si="7"/>
        <v>4408.6268300000002</v>
      </c>
      <c r="K47" s="38">
        <f t="shared" si="7"/>
        <v>13251.38099</v>
      </c>
      <c r="L47" s="38">
        <f t="shared" si="7"/>
        <v>0</v>
      </c>
      <c r="M47" s="38">
        <f t="shared" si="7"/>
        <v>17660.007819999999</v>
      </c>
      <c r="N47" s="99"/>
      <c r="O47" s="99"/>
      <c r="P47" s="99"/>
      <c r="Q47" s="99"/>
      <c r="R47" s="422"/>
    </row>
    <row r="48" spans="1:18" x14ac:dyDescent="0.2">
      <c r="A48" s="426"/>
      <c r="B48" s="426"/>
      <c r="C48" s="43" t="s">
        <v>24</v>
      </c>
      <c r="D48" s="156">
        <f>SUMIF($C11:$C46,"2020",D11:D46)</f>
        <v>0</v>
      </c>
      <c r="E48" s="156">
        <f>SUMIF($C11:$C46,"2020",E11:E46)</f>
        <v>0</v>
      </c>
      <c r="F48" s="38">
        <f>SUMIF($C11:$C46,"2020",F11:F46)</f>
        <v>0</v>
      </c>
      <c r="G48" s="38">
        <f>SUMIF($C11:$C46,"2020",G11:G46)</f>
        <v>0</v>
      </c>
      <c r="H48" s="38">
        <f>SUMIF($C12:$C47,"2020",H12:H47)</f>
        <v>73561.152360000007</v>
      </c>
      <c r="I48" s="38">
        <f>SUMIF($C12:$C47,"2020",I12:I47)</f>
        <v>0</v>
      </c>
      <c r="J48" s="38">
        <f>SUMIF($C10:$C46,"2020",J10:J46)</f>
        <v>7000</v>
      </c>
      <c r="K48" s="38">
        <f>SUMIF($C10:$C46,"2020",K10:K46)</f>
        <v>66561.152360000007</v>
      </c>
      <c r="L48" s="38">
        <f>SUMIF($C12:$C47,"2020",L12:L47)</f>
        <v>0</v>
      </c>
      <c r="M48" s="38">
        <f>SUMIF($C11:$C46,"2020",M11:M46)</f>
        <v>73561.152360000007</v>
      </c>
      <c r="N48" s="99"/>
      <c r="O48" s="99"/>
      <c r="P48" s="99"/>
      <c r="Q48" s="99"/>
      <c r="R48" s="422"/>
    </row>
    <row r="49" spans="1:18" x14ac:dyDescent="0.2">
      <c r="A49" s="426"/>
      <c r="B49" s="426"/>
      <c r="C49" s="43">
        <v>2021</v>
      </c>
      <c r="D49" s="38">
        <f>SUMIF($C13:$C46,"2021",D13:D46)</f>
        <v>842</v>
      </c>
      <c r="E49" s="38">
        <f>SUMIF($C11:$C46,"2021",E11:E46)</f>
        <v>1100</v>
      </c>
      <c r="F49" s="38">
        <f>SUMIF($C11:$C46,"2021",F11:F46)</f>
        <v>2.89</v>
      </c>
      <c r="G49" s="38">
        <f>SUMIF($C11:$C46,"2021",G11:G46)</f>
        <v>0.5</v>
      </c>
      <c r="H49" s="38">
        <f>SUMIF($C13:$C48,"2021",H13:H48)</f>
        <v>2450</v>
      </c>
      <c r="I49" s="38">
        <f>SUMIF($C13:$C48,"2021",I13:I48)</f>
        <v>0</v>
      </c>
      <c r="J49" s="38">
        <f>SUMIF($C11:$C46,"2021",J11:J46)</f>
        <v>800</v>
      </c>
      <c r="K49" s="38">
        <f>SUMIF($C11:$C46,"2021",K11:K46)</f>
        <v>1650</v>
      </c>
      <c r="L49" s="38">
        <f>SUMIF($C13:$C48,"2021",L13:L48)</f>
        <v>0</v>
      </c>
      <c r="M49" s="38">
        <f>SUMIF($C11:$C46,"2021",M11:M46)</f>
        <v>2450</v>
      </c>
      <c r="N49" s="99"/>
      <c r="O49" s="99"/>
      <c r="P49" s="99"/>
      <c r="Q49" s="99"/>
      <c r="R49" s="422"/>
    </row>
    <row r="50" spans="1:18" x14ac:dyDescent="0.2">
      <c r="A50" s="426"/>
      <c r="B50" s="426"/>
      <c r="C50" s="43">
        <v>2022</v>
      </c>
      <c r="D50" s="38">
        <f>SUMIF($C11:$C46,"2022",D11:D46)</f>
        <v>0</v>
      </c>
      <c r="E50" s="38">
        <f>SUMIF($C11:$C46,"2022",E11:E46)</f>
        <v>1423.2439999999999</v>
      </c>
      <c r="F50" s="38">
        <f>SUMIF($C11:$C46,"2022",F11:F46)</f>
        <v>3.3370000000000002</v>
      </c>
      <c r="G50" s="38">
        <f>SUMIF($C11:$C46,"2022",G11:G46)</f>
        <v>12.379999999999999</v>
      </c>
      <c r="H50" s="38">
        <f>SUMIF($C14:$C49,"2022",H14:H49)</f>
        <v>37858</v>
      </c>
      <c r="I50" s="38">
        <f>SUMIF($C14:$C49,"2022",I14:I49)</f>
        <v>0</v>
      </c>
      <c r="J50" s="38">
        <f>SUMIF($C11:$C46,"2022",J11:J46)</f>
        <v>12800</v>
      </c>
      <c r="K50" s="38">
        <f>SUMIF($C11:$C46,"2022",K11:K46)</f>
        <v>25058</v>
      </c>
      <c r="L50" s="38">
        <f>SUMIF($C14:$C49,"2022",L14:L49)</f>
        <v>0</v>
      </c>
      <c r="M50" s="38">
        <f>SUMIF($C11:$C46,"2022",M11:M46)</f>
        <v>37858</v>
      </c>
      <c r="N50" s="99"/>
      <c r="O50" s="99"/>
      <c r="P50" s="99"/>
      <c r="Q50" s="99"/>
      <c r="R50" s="422"/>
    </row>
    <row r="51" spans="1:18" x14ac:dyDescent="0.2">
      <c r="A51" s="426"/>
      <c r="B51" s="426"/>
      <c r="C51" s="43">
        <v>2023</v>
      </c>
      <c r="D51" s="38">
        <f>SUMIF($C11:$C46,"2023",D11:D46)</f>
        <v>0</v>
      </c>
      <c r="E51" s="38">
        <f>SUMIF($C11:$C46,"2023",E11:E46)</f>
        <v>0</v>
      </c>
      <c r="F51" s="38">
        <f>SUMIF($C11:$C46,"2023",F11:F46)</f>
        <v>8.5299999999999994</v>
      </c>
      <c r="G51" s="38">
        <f>SUMIF($C11:$C46,"2023",G11:G46)</f>
        <v>0</v>
      </c>
      <c r="H51" s="38">
        <f>SUMIF($C15:$C50,"2023",H15:H50)</f>
        <v>20000</v>
      </c>
      <c r="I51" s="38">
        <f>SUMIF($C15:$C50,"2023",I15:I50)</f>
        <v>0</v>
      </c>
      <c r="J51" s="38">
        <f>SUMIF($C11:$C46,"2023",J11:J46)</f>
        <v>0</v>
      </c>
      <c r="K51" s="38">
        <f>SUMIF($C11:$C46,"2023",K11:K46)</f>
        <v>20000</v>
      </c>
      <c r="L51" s="38">
        <f>SUMIF($C15:$C50,"2023",L15:L50)</f>
        <v>0</v>
      </c>
      <c r="M51" s="38">
        <f>SUMIF($C11:$C47,"2023",M11:M47)</f>
        <v>20000</v>
      </c>
      <c r="N51" s="99"/>
      <c r="O51" s="99"/>
      <c r="P51" s="99"/>
      <c r="Q51" s="99"/>
      <c r="R51" s="422"/>
    </row>
    <row r="52" spans="1:18" x14ac:dyDescent="0.2">
      <c r="A52" s="426"/>
      <c r="B52" s="426"/>
      <c r="C52" s="43" t="s">
        <v>12</v>
      </c>
      <c r="D52" s="156">
        <f>SUM(D47:D51)</f>
        <v>6026</v>
      </c>
      <c r="E52" s="156">
        <f t="shared" ref="E52:L52" si="8">SUM(E47:E51)</f>
        <v>16533.504000000001</v>
      </c>
      <c r="F52" s="156">
        <f t="shared" si="8"/>
        <v>54.162600000000005</v>
      </c>
      <c r="G52" s="156">
        <f t="shared" si="8"/>
        <v>40.5</v>
      </c>
      <c r="H52" s="38">
        <f t="shared" si="8"/>
        <v>355544.71018000005</v>
      </c>
      <c r="I52" s="38">
        <f t="shared" si="8"/>
        <v>204015.55000000002</v>
      </c>
      <c r="J52" s="38">
        <f t="shared" si="8"/>
        <v>25008.626830000001</v>
      </c>
      <c r="K52" s="38">
        <f t="shared" si="8"/>
        <v>126520.53335000001</v>
      </c>
      <c r="L52" s="38">
        <f t="shared" si="8"/>
        <v>0</v>
      </c>
      <c r="M52" s="38">
        <f>SUM(M47:M51)</f>
        <v>151529.16018000001</v>
      </c>
      <c r="N52" s="99"/>
      <c r="O52" s="99"/>
      <c r="P52" s="99"/>
      <c r="Q52" s="99"/>
      <c r="R52" s="422"/>
    </row>
    <row r="53" spans="1:18" x14ac:dyDescent="0.2">
      <c r="A53" s="427" t="s">
        <v>6</v>
      </c>
      <c r="B53" s="428"/>
      <c r="C53" s="66"/>
      <c r="D53" s="67"/>
      <c r="E53" s="98"/>
      <c r="F53" s="67"/>
      <c r="G53" s="67"/>
      <c r="H53" s="66"/>
      <c r="I53" s="66"/>
      <c r="J53" s="68"/>
      <c r="K53" s="68"/>
      <c r="L53" s="68"/>
      <c r="M53" s="68"/>
      <c r="N53" s="66"/>
      <c r="O53" s="66"/>
      <c r="P53" s="66"/>
      <c r="Q53" s="66"/>
    </row>
    <row r="54" spans="1:18" x14ac:dyDescent="0.2">
      <c r="A54" s="417">
        <v>7</v>
      </c>
      <c r="B54" s="418" t="s">
        <v>58</v>
      </c>
      <c r="C54" s="43">
        <v>2019</v>
      </c>
      <c r="D54" s="98">
        <v>386</v>
      </c>
      <c r="E54" s="57">
        <v>541.27</v>
      </c>
      <c r="F54" s="57">
        <v>5.5</v>
      </c>
      <c r="G54" s="48">
        <v>20.3</v>
      </c>
      <c r="H54" s="46">
        <f>SUM(I54:L54)</f>
        <v>4550.3500000000004</v>
      </c>
      <c r="I54" s="74"/>
      <c r="J54" s="49">
        <v>4550.3500000000004</v>
      </c>
      <c r="K54" s="49"/>
      <c r="L54" s="49"/>
      <c r="M54" s="49">
        <f t="shared" ref="M54:M65" si="9">J54+K54+L54</f>
        <v>4550.3500000000004</v>
      </c>
      <c r="N54" s="99" t="s">
        <v>48</v>
      </c>
      <c r="O54" s="99"/>
      <c r="P54" s="99"/>
      <c r="Q54" s="99"/>
      <c r="R54" s="422"/>
    </row>
    <row r="55" spans="1:18" x14ac:dyDescent="0.2">
      <c r="A55" s="417"/>
      <c r="B55" s="418"/>
      <c r="C55" s="43">
        <v>2020</v>
      </c>
      <c r="D55" s="98"/>
      <c r="E55" s="98"/>
      <c r="F55" s="98"/>
      <c r="G55" s="48"/>
      <c r="H55" s="46">
        <f>SUM(I55:L55)</f>
        <v>52500</v>
      </c>
      <c r="I55" s="74"/>
      <c r="J55" s="49">
        <v>2000</v>
      </c>
      <c r="K55" s="49">
        <v>50500</v>
      </c>
      <c r="L55" s="49"/>
      <c r="M55" s="49">
        <f t="shared" si="9"/>
        <v>52500</v>
      </c>
      <c r="N55" s="99"/>
      <c r="O55" s="99" t="s">
        <v>54</v>
      </c>
      <c r="P55" s="99" t="s">
        <v>49</v>
      </c>
      <c r="Q55" s="99"/>
      <c r="R55" s="422"/>
    </row>
    <row r="56" spans="1:18" x14ac:dyDescent="0.2">
      <c r="A56" s="417"/>
      <c r="B56" s="418"/>
      <c r="C56" s="43" t="s">
        <v>25</v>
      </c>
      <c r="D56" s="98"/>
      <c r="E56" s="98"/>
      <c r="F56" s="98"/>
      <c r="G56" s="48"/>
      <c r="H56" s="46">
        <f>SUM(I56:L56)</f>
        <v>24282</v>
      </c>
      <c r="I56" s="74"/>
      <c r="J56" s="49"/>
      <c r="K56" s="49">
        <v>24282</v>
      </c>
      <c r="L56" s="49"/>
      <c r="M56" s="49">
        <f t="shared" si="9"/>
        <v>24282</v>
      </c>
      <c r="N56" s="99"/>
      <c r="O56" s="99"/>
      <c r="P56" s="99"/>
      <c r="Q56" s="99" t="s">
        <v>51</v>
      </c>
      <c r="R56" s="422"/>
    </row>
    <row r="57" spans="1:18" x14ac:dyDescent="0.2">
      <c r="A57" s="417"/>
      <c r="B57" s="418"/>
      <c r="C57" s="43">
        <v>2022</v>
      </c>
      <c r="D57" s="98"/>
      <c r="E57" s="98"/>
      <c r="F57" s="98"/>
      <c r="G57" s="48"/>
      <c r="H57" s="46">
        <f>SUM(I57:L57)</f>
        <v>0</v>
      </c>
      <c r="I57" s="74"/>
      <c r="J57" s="49"/>
      <c r="K57" s="49"/>
      <c r="L57" s="49"/>
      <c r="M57" s="49">
        <f t="shared" si="9"/>
        <v>0</v>
      </c>
      <c r="N57" s="99"/>
      <c r="O57" s="99"/>
      <c r="P57" s="99"/>
      <c r="Q57" s="99"/>
      <c r="R57" s="422"/>
    </row>
    <row r="58" spans="1:18" x14ac:dyDescent="0.2">
      <c r="A58" s="417"/>
      <c r="B58" s="418"/>
      <c r="C58" s="43">
        <v>2023</v>
      </c>
      <c r="D58" s="98"/>
      <c r="E58" s="98"/>
      <c r="F58" s="98"/>
      <c r="G58" s="48"/>
      <c r="H58" s="46">
        <f>SUM(I58:L58)</f>
        <v>0</v>
      </c>
      <c r="I58" s="74"/>
      <c r="J58" s="49"/>
      <c r="K58" s="49"/>
      <c r="L58" s="49"/>
      <c r="M58" s="49">
        <f t="shared" si="9"/>
        <v>0</v>
      </c>
      <c r="N58" s="99"/>
      <c r="O58" s="99"/>
      <c r="P58" s="99"/>
      <c r="Q58" s="99"/>
      <c r="R58" s="422"/>
    </row>
    <row r="59" spans="1:18" x14ac:dyDescent="0.2">
      <c r="A59" s="417"/>
      <c r="B59" s="418"/>
      <c r="C59" s="43" t="s">
        <v>26</v>
      </c>
      <c r="D59" s="60">
        <f>SUM(D54:D58)</f>
        <v>386</v>
      </c>
      <c r="E59" s="60">
        <f t="shared" ref="E59:L59" si="10">SUM(E54:E58)</f>
        <v>541.27</v>
      </c>
      <c r="F59" s="60">
        <f t="shared" si="10"/>
        <v>5.5</v>
      </c>
      <c r="G59" s="60">
        <f t="shared" si="10"/>
        <v>20.3</v>
      </c>
      <c r="H59" s="40">
        <f>SUM(H54:H58)</f>
        <v>81332.350000000006</v>
      </c>
      <c r="I59" s="40">
        <f t="shared" si="10"/>
        <v>0</v>
      </c>
      <c r="J59" s="40">
        <f t="shared" si="10"/>
        <v>6550.35</v>
      </c>
      <c r="K59" s="40">
        <f t="shared" si="10"/>
        <v>74782</v>
      </c>
      <c r="L59" s="40">
        <f t="shared" si="10"/>
        <v>0</v>
      </c>
      <c r="M59" s="49">
        <f t="shared" si="9"/>
        <v>81332.350000000006</v>
      </c>
      <c r="N59" s="99"/>
      <c r="O59" s="99"/>
      <c r="P59" s="99"/>
      <c r="Q59" s="99"/>
      <c r="R59" s="422"/>
    </row>
    <row r="60" spans="1:18" ht="15" customHeight="1" x14ac:dyDescent="0.2">
      <c r="A60" s="417">
        <v>8</v>
      </c>
      <c r="B60" s="418" t="s">
        <v>96</v>
      </c>
      <c r="C60" s="43">
        <v>2019</v>
      </c>
      <c r="D60" s="98">
        <v>359</v>
      </c>
      <c r="E60" s="57">
        <v>877.64</v>
      </c>
      <c r="F60" s="57">
        <v>6.36</v>
      </c>
      <c r="G60" s="48">
        <v>10.7</v>
      </c>
      <c r="H60" s="46">
        <f>SUM(I60:L60)</f>
        <v>1262.1500000000001</v>
      </c>
      <c r="I60" s="74"/>
      <c r="J60" s="49">
        <v>1262.1500000000001</v>
      </c>
      <c r="K60" s="49"/>
      <c r="L60" s="49"/>
      <c r="M60" s="49">
        <f t="shared" si="9"/>
        <v>1262.1500000000001</v>
      </c>
      <c r="N60" s="99" t="s">
        <v>28</v>
      </c>
      <c r="O60" s="99"/>
      <c r="P60" s="99"/>
      <c r="Q60" s="99"/>
      <c r="R60" s="435" t="s">
        <v>97</v>
      </c>
    </row>
    <row r="61" spans="1:18" ht="15" customHeight="1" x14ac:dyDescent="0.2">
      <c r="A61" s="417"/>
      <c r="B61" s="418"/>
      <c r="C61" s="43">
        <v>2020</v>
      </c>
      <c r="D61" s="98"/>
      <c r="E61" s="57"/>
      <c r="F61" s="57"/>
      <c r="G61" s="48"/>
      <c r="H61" s="46">
        <f>SUM(I61:L61)</f>
        <v>15800</v>
      </c>
      <c r="I61" s="74"/>
      <c r="J61" s="49">
        <v>4000</v>
      </c>
      <c r="K61" s="49">
        <v>11800</v>
      </c>
      <c r="L61" s="49"/>
      <c r="M61" s="49">
        <f t="shared" si="9"/>
        <v>15800</v>
      </c>
      <c r="N61" s="99"/>
      <c r="O61" s="99" t="s">
        <v>51</v>
      </c>
      <c r="P61" s="99" t="s">
        <v>53</v>
      </c>
      <c r="Q61" s="99"/>
      <c r="R61" s="435"/>
    </row>
    <row r="62" spans="1:18" x14ac:dyDescent="0.2">
      <c r="A62" s="417"/>
      <c r="B62" s="418"/>
      <c r="C62" s="43" t="s">
        <v>25</v>
      </c>
      <c r="D62" s="98"/>
      <c r="E62" s="98"/>
      <c r="F62" s="98"/>
      <c r="G62" s="48"/>
      <c r="H62" s="46">
        <f>SUM(I62:L62)</f>
        <v>24200</v>
      </c>
      <c r="I62" s="74"/>
      <c r="J62" s="49"/>
      <c r="K62" s="49">
        <v>24200</v>
      </c>
      <c r="L62" s="49"/>
      <c r="M62" s="49">
        <f t="shared" si="9"/>
        <v>24200</v>
      </c>
      <c r="N62" s="99"/>
      <c r="O62" s="99"/>
      <c r="P62" s="99"/>
      <c r="Q62" s="99" t="s">
        <v>110</v>
      </c>
      <c r="R62" s="435"/>
    </row>
    <row r="63" spans="1:18" x14ac:dyDescent="0.2">
      <c r="A63" s="417"/>
      <c r="B63" s="418"/>
      <c r="C63" s="43">
        <v>2022</v>
      </c>
      <c r="D63" s="98"/>
      <c r="E63" s="98"/>
      <c r="F63" s="98"/>
      <c r="G63" s="48"/>
      <c r="H63" s="46">
        <f>SUM(I63:L63)</f>
        <v>0</v>
      </c>
      <c r="I63" s="74"/>
      <c r="J63" s="49"/>
      <c r="K63" s="49"/>
      <c r="L63" s="49"/>
      <c r="M63" s="49">
        <f t="shared" si="9"/>
        <v>0</v>
      </c>
      <c r="N63" s="99"/>
      <c r="O63" s="99"/>
      <c r="P63" s="99"/>
      <c r="Q63" s="99"/>
      <c r="R63" s="435"/>
    </row>
    <row r="64" spans="1:18" x14ac:dyDescent="0.2">
      <c r="A64" s="417"/>
      <c r="B64" s="418"/>
      <c r="C64" s="43">
        <v>2023</v>
      </c>
      <c r="D64" s="98"/>
      <c r="E64" s="98"/>
      <c r="F64" s="98"/>
      <c r="G64" s="48"/>
      <c r="H64" s="46">
        <f>SUM(I64:L64)</f>
        <v>0</v>
      </c>
      <c r="I64" s="74"/>
      <c r="J64" s="49"/>
      <c r="K64" s="49"/>
      <c r="L64" s="49"/>
      <c r="M64" s="49">
        <f t="shared" si="9"/>
        <v>0</v>
      </c>
      <c r="N64" s="99"/>
      <c r="O64" s="99"/>
      <c r="P64" s="99"/>
      <c r="Q64" s="99"/>
      <c r="R64" s="435"/>
    </row>
    <row r="65" spans="1:18" x14ac:dyDescent="0.2">
      <c r="A65" s="417"/>
      <c r="B65" s="418"/>
      <c r="C65" s="43" t="s">
        <v>26</v>
      </c>
      <c r="D65" s="60">
        <f t="shared" ref="D65:L65" si="11">SUM(D60:D64)</f>
        <v>359</v>
      </c>
      <c r="E65" s="60">
        <f t="shared" si="11"/>
        <v>877.64</v>
      </c>
      <c r="F65" s="60">
        <f t="shared" si="11"/>
        <v>6.36</v>
      </c>
      <c r="G65" s="60">
        <f t="shared" si="11"/>
        <v>10.7</v>
      </c>
      <c r="H65" s="60">
        <f t="shared" si="11"/>
        <v>41262.15</v>
      </c>
      <c r="I65" s="60">
        <f t="shared" si="11"/>
        <v>0</v>
      </c>
      <c r="J65" s="60">
        <f t="shared" si="11"/>
        <v>5262.15</v>
      </c>
      <c r="K65" s="60">
        <f t="shared" si="11"/>
        <v>36000</v>
      </c>
      <c r="L65" s="60">
        <f t="shared" si="11"/>
        <v>0</v>
      </c>
      <c r="M65" s="49">
        <f t="shared" si="9"/>
        <v>41262.15</v>
      </c>
      <c r="N65" s="99"/>
      <c r="O65" s="99"/>
      <c r="P65" s="99"/>
      <c r="Q65" s="99"/>
      <c r="R65" s="435"/>
    </row>
    <row r="66" spans="1:18" x14ac:dyDescent="0.2">
      <c r="A66" s="426" t="s">
        <v>29</v>
      </c>
      <c r="B66" s="426"/>
      <c r="C66" s="43" t="s">
        <v>23</v>
      </c>
      <c r="D66" s="38">
        <f>D54+D60</f>
        <v>745</v>
      </c>
      <c r="E66" s="38">
        <f t="shared" ref="E66:L66" si="12">E54+E60</f>
        <v>1418.9099999999999</v>
      </c>
      <c r="F66" s="38">
        <f t="shared" si="12"/>
        <v>11.86</v>
      </c>
      <c r="G66" s="38">
        <f t="shared" si="12"/>
        <v>31</v>
      </c>
      <c r="H66" s="38">
        <f t="shared" si="12"/>
        <v>5812.5</v>
      </c>
      <c r="I66" s="38">
        <f t="shared" si="12"/>
        <v>0</v>
      </c>
      <c r="J66" s="38">
        <f t="shared" si="12"/>
        <v>5812.5</v>
      </c>
      <c r="K66" s="38">
        <f t="shared" si="12"/>
        <v>0</v>
      </c>
      <c r="L66" s="38">
        <f t="shared" si="12"/>
        <v>0</v>
      </c>
      <c r="M66" s="38">
        <f>SUMIF($C54:$C65,"2019",M54:M65)</f>
        <v>5812.5</v>
      </c>
      <c r="N66" s="157"/>
      <c r="O66" s="99"/>
      <c r="P66" s="99"/>
      <c r="Q66" s="99"/>
      <c r="R66" s="422"/>
    </row>
    <row r="67" spans="1:18" x14ac:dyDescent="0.2">
      <c r="A67" s="426"/>
      <c r="B67" s="426"/>
      <c r="C67" s="43">
        <v>2020</v>
      </c>
      <c r="D67" s="38">
        <f t="shared" ref="D67:L70" si="13">D55+D61</f>
        <v>0</v>
      </c>
      <c r="E67" s="38">
        <f t="shared" si="13"/>
        <v>0</v>
      </c>
      <c r="F67" s="38">
        <f t="shared" si="13"/>
        <v>0</v>
      </c>
      <c r="G67" s="38">
        <f t="shared" si="13"/>
        <v>0</v>
      </c>
      <c r="H67" s="38">
        <f t="shared" si="13"/>
        <v>68300</v>
      </c>
      <c r="I67" s="38">
        <f t="shared" si="13"/>
        <v>0</v>
      </c>
      <c r="J67" s="38">
        <f t="shared" si="13"/>
        <v>6000</v>
      </c>
      <c r="K67" s="38">
        <f t="shared" si="13"/>
        <v>62300</v>
      </c>
      <c r="L67" s="38">
        <f t="shared" si="13"/>
        <v>0</v>
      </c>
      <c r="M67" s="38">
        <f>SUMIF($C54:$C65,"2020",M54:M65)</f>
        <v>68300</v>
      </c>
      <c r="N67" s="157"/>
      <c r="O67" s="99"/>
      <c r="P67" s="99"/>
      <c r="Q67" s="99"/>
      <c r="R67" s="422"/>
    </row>
    <row r="68" spans="1:18" x14ac:dyDescent="0.2">
      <c r="A68" s="426"/>
      <c r="B68" s="426"/>
      <c r="C68" s="43">
        <v>2021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48482</v>
      </c>
      <c r="I68" s="38">
        <f t="shared" si="13"/>
        <v>0</v>
      </c>
      <c r="J68" s="38">
        <f t="shared" si="13"/>
        <v>0</v>
      </c>
      <c r="K68" s="38">
        <f t="shared" si="13"/>
        <v>48482</v>
      </c>
      <c r="L68" s="38">
        <f t="shared" si="13"/>
        <v>0</v>
      </c>
      <c r="M68" s="38">
        <f>SUMIF($C54:$C65,"2021",M54:M65)</f>
        <v>48482</v>
      </c>
      <c r="N68" s="157"/>
      <c r="O68" s="99"/>
      <c r="P68" s="99"/>
      <c r="Q68" s="99"/>
      <c r="R68" s="422"/>
    </row>
    <row r="69" spans="1:18" x14ac:dyDescent="0.2">
      <c r="A69" s="426"/>
      <c r="B69" s="426"/>
      <c r="C69" s="43">
        <v>2022</v>
      </c>
      <c r="D69" s="38">
        <f t="shared" si="13"/>
        <v>0</v>
      </c>
      <c r="E69" s="38">
        <f t="shared" si="13"/>
        <v>0</v>
      </c>
      <c r="F69" s="38">
        <f t="shared" si="13"/>
        <v>0</v>
      </c>
      <c r="G69" s="38">
        <f t="shared" si="13"/>
        <v>0</v>
      </c>
      <c r="H69" s="38">
        <f t="shared" si="13"/>
        <v>0</v>
      </c>
      <c r="I69" s="38">
        <f t="shared" si="13"/>
        <v>0</v>
      </c>
      <c r="J69" s="38">
        <f t="shared" si="13"/>
        <v>0</v>
      </c>
      <c r="K69" s="38">
        <f t="shared" si="13"/>
        <v>0</v>
      </c>
      <c r="L69" s="38">
        <f t="shared" si="13"/>
        <v>0</v>
      </c>
      <c r="M69" s="38">
        <f>SUMIF($C54:$C65,"2022",M54:M65)</f>
        <v>0</v>
      </c>
      <c r="N69" s="99"/>
      <c r="O69" s="99"/>
      <c r="P69" s="99"/>
      <c r="Q69" s="99"/>
      <c r="R69" s="422"/>
    </row>
    <row r="70" spans="1:18" x14ac:dyDescent="0.2">
      <c r="A70" s="426"/>
      <c r="B70" s="426"/>
      <c r="C70" s="43">
        <v>2023</v>
      </c>
      <c r="D70" s="38">
        <f t="shared" si="13"/>
        <v>0</v>
      </c>
      <c r="E70" s="38">
        <f t="shared" si="13"/>
        <v>0</v>
      </c>
      <c r="F70" s="38">
        <f t="shared" si="13"/>
        <v>0</v>
      </c>
      <c r="G70" s="38">
        <f t="shared" si="13"/>
        <v>0</v>
      </c>
      <c r="H70" s="38">
        <f t="shared" si="13"/>
        <v>0</v>
      </c>
      <c r="I70" s="38">
        <f t="shared" si="13"/>
        <v>0</v>
      </c>
      <c r="J70" s="38">
        <f t="shared" si="13"/>
        <v>0</v>
      </c>
      <c r="K70" s="38">
        <f t="shared" si="13"/>
        <v>0</v>
      </c>
      <c r="L70" s="38">
        <f t="shared" si="13"/>
        <v>0</v>
      </c>
      <c r="M70" s="38">
        <f>SUMIF($C54:$C65,"2023",M54:M65)</f>
        <v>0</v>
      </c>
      <c r="N70" s="99"/>
      <c r="O70" s="99"/>
      <c r="P70" s="99"/>
      <c r="Q70" s="99"/>
      <c r="R70" s="422"/>
    </row>
    <row r="71" spans="1:18" x14ac:dyDescent="0.2">
      <c r="A71" s="426"/>
      <c r="B71" s="426"/>
      <c r="C71" s="43" t="s">
        <v>12</v>
      </c>
      <c r="D71" s="60">
        <f>SUM(D66:D70)</f>
        <v>745</v>
      </c>
      <c r="E71" s="60">
        <f>SUM(E66:E70)</f>
        <v>1418.9099999999999</v>
      </c>
      <c r="F71" s="60">
        <f t="shared" ref="F71:L71" si="14">SUM(F66:F70)</f>
        <v>11.86</v>
      </c>
      <c r="G71" s="60">
        <f t="shared" si="14"/>
        <v>31</v>
      </c>
      <c r="H71" s="61">
        <f>SUM(H66:H70)</f>
        <v>122594.5</v>
      </c>
      <c r="I71" s="61">
        <f t="shared" si="14"/>
        <v>0</v>
      </c>
      <c r="J71" s="40">
        <f>SUM(J66:J70)</f>
        <v>11812.5</v>
      </c>
      <c r="K71" s="40">
        <f>SUM(K66:K70)</f>
        <v>110782</v>
      </c>
      <c r="L71" s="40">
        <f t="shared" si="14"/>
        <v>0</v>
      </c>
      <c r="M71" s="49">
        <f>J71+K71+L71</f>
        <v>122594.5</v>
      </c>
      <c r="N71" s="99"/>
      <c r="O71" s="99"/>
      <c r="P71" s="99"/>
      <c r="Q71" s="99"/>
      <c r="R71" s="422"/>
    </row>
    <row r="72" spans="1:18" x14ac:dyDescent="0.2">
      <c r="A72" s="427" t="s">
        <v>14</v>
      </c>
      <c r="B72" s="428"/>
      <c r="C72" s="66"/>
      <c r="D72" s="67"/>
      <c r="E72" s="98"/>
      <c r="F72" s="67"/>
      <c r="G72" s="67"/>
      <c r="H72" s="66"/>
      <c r="I72" s="66"/>
      <c r="J72" s="68"/>
      <c r="K72" s="68"/>
      <c r="L72" s="68"/>
      <c r="M72" s="68"/>
      <c r="N72" s="66"/>
      <c r="O72" s="66"/>
      <c r="P72" s="66"/>
      <c r="Q72" s="66"/>
    </row>
    <row r="73" spans="1:18" x14ac:dyDescent="0.2">
      <c r="A73" s="417">
        <v>9</v>
      </c>
      <c r="B73" s="418" t="s">
        <v>62</v>
      </c>
      <c r="C73" s="43">
        <v>2019</v>
      </c>
      <c r="D73" s="98"/>
      <c r="E73" s="98"/>
      <c r="F73" s="98"/>
      <c r="G73" s="98"/>
      <c r="H73" s="153">
        <f>I73+J73+K73+L73</f>
        <v>0</v>
      </c>
      <c r="I73" s="74"/>
      <c r="J73" s="49"/>
      <c r="K73" s="49"/>
      <c r="L73" s="49"/>
      <c r="M73" s="49">
        <f t="shared" ref="M73:M89" si="15">J73+K73+L73</f>
        <v>0</v>
      </c>
      <c r="N73" s="99"/>
      <c r="O73" s="99"/>
      <c r="P73" s="99"/>
      <c r="Q73" s="99"/>
      <c r="R73" s="422"/>
    </row>
    <row r="74" spans="1:18" x14ac:dyDescent="0.2">
      <c r="A74" s="417"/>
      <c r="B74" s="418"/>
      <c r="C74" s="43" t="s">
        <v>24</v>
      </c>
      <c r="D74" s="98"/>
      <c r="E74" s="98"/>
      <c r="F74" s="98"/>
      <c r="G74" s="98"/>
      <c r="H74" s="153">
        <f>I74+J74+K74+L74</f>
        <v>0</v>
      </c>
      <c r="I74" s="74"/>
      <c r="J74" s="49"/>
      <c r="K74" s="49"/>
      <c r="L74" s="49"/>
      <c r="M74" s="49">
        <f t="shared" si="15"/>
        <v>0</v>
      </c>
      <c r="N74" s="99"/>
      <c r="O74" s="99"/>
      <c r="P74" s="99"/>
      <c r="Q74" s="99"/>
      <c r="R74" s="422"/>
    </row>
    <row r="75" spans="1:18" x14ac:dyDescent="0.2">
      <c r="A75" s="417"/>
      <c r="B75" s="418"/>
      <c r="C75" s="43">
        <v>2021</v>
      </c>
      <c r="D75" s="98">
        <v>148</v>
      </c>
      <c r="E75" s="98"/>
      <c r="F75" s="98"/>
      <c r="G75" s="98"/>
      <c r="H75" s="153">
        <f>I75+J75+K75+L75</f>
        <v>0</v>
      </c>
      <c r="I75" s="74"/>
      <c r="J75" s="49"/>
      <c r="K75" s="49"/>
      <c r="L75" s="49"/>
      <c r="M75" s="49">
        <f t="shared" si="15"/>
        <v>0</v>
      </c>
      <c r="N75" s="99"/>
      <c r="O75" s="99"/>
      <c r="P75" s="99"/>
      <c r="Q75" s="99"/>
      <c r="R75" s="422"/>
    </row>
    <row r="76" spans="1:18" x14ac:dyDescent="0.2">
      <c r="A76" s="417"/>
      <c r="B76" s="418"/>
      <c r="C76" s="43">
        <v>2022</v>
      </c>
      <c r="D76" s="98"/>
      <c r="E76" s="98">
        <v>207.535</v>
      </c>
      <c r="F76" s="98">
        <v>0.4199</v>
      </c>
      <c r="G76" s="98">
        <v>4</v>
      </c>
      <c r="H76" s="153">
        <f>I76+J76+K76+L76</f>
        <v>13825</v>
      </c>
      <c r="I76" s="74"/>
      <c r="J76" s="49">
        <v>3000</v>
      </c>
      <c r="K76" s="49">
        <f>10825</f>
        <v>10825</v>
      </c>
      <c r="L76" s="49"/>
      <c r="M76" s="49">
        <f t="shared" si="15"/>
        <v>13825</v>
      </c>
      <c r="N76" s="99" t="s">
        <v>28</v>
      </c>
      <c r="O76" s="99" t="s">
        <v>53</v>
      </c>
      <c r="P76" s="99" t="s">
        <v>57</v>
      </c>
      <c r="Q76" s="99"/>
      <c r="R76" s="422"/>
    </row>
    <row r="77" spans="1:18" x14ac:dyDescent="0.2">
      <c r="A77" s="417"/>
      <c r="B77" s="418"/>
      <c r="C77" s="43">
        <v>2023</v>
      </c>
      <c r="D77" s="98"/>
      <c r="E77" s="57"/>
      <c r="F77" s="57"/>
      <c r="G77" s="98"/>
      <c r="H77" s="153">
        <f>I77+J77+K77+L77</f>
        <v>6000</v>
      </c>
      <c r="I77" s="74"/>
      <c r="J77" s="49"/>
      <c r="K77" s="49">
        <v>6000</v>
      </c>
      <c r="L77" s="49"/>
      <c r="M77" s="49">
        <f t="shared" si="15"/>
        <v>6000</v>
      </c>
      <c r="N77" s="99"/>
      <c r="O77" s="99"/>
      <c r="P77" s="99"/>
      <c r="Q77" s="99" t="s">
        <v>48</v>
      </c>
      <c r="R77" s="422"/>
    </row>
    <row r="78" spans="1:18" x14ac:dyDescent="0.2">
      <c r="A78" s="417"/>
      <c r="B78" s="418"/>
      <c r="C78" s="43" t="s">
        <v>26</v>
      </c>
      <c r="D78" s="98">
        <f>SUM(D73:D77)</f>
        <v>148</v>
      </c>
      <c r="E78" s="98">
        <f t="shared" ref="E78:L78" si="16">SUM(E73:E77)</f>
        <v>207.535</v>
      </c>
      <c r="F78" s="98">
        <f t="shared" si="16"/>
        <v>0.4199</v>
      </c>
      <c r="G78" s="98">
        <f t="shared" si="16"/>
        <v>4</v>
      </c>
      <c r="H78" s="98">
        <f t="shared" si="16"/>
        <v>19825</v>
      </c>
      <c r="I78" s="48">
        <f>SUM(I73:I77)</f>
        <v>0</v>
      </c>
      <c r="J78" s="98">
        <f t="shared" si="16"/>
        <v>3000</v>
      </c>
      <c r="K78" s="98">
        <f t="shared" si="16"/>
        <v>16825</v>
      </c>
      <c r="L78" s="98">
        <f t="shared" si="16"/>
        <v>0</v>
      </c>
      <c r="M78" s="49">
        <f t="shared" si="15"/>
        <v>19825</v>
      </c>
      <c r="N78" s="99"/>
      <c r="O78" s="99"/>
      <c r="P78" s="99"/>
      <c r="Q78" s="99"/>
      <c r="R78" s="422"/>
    </row>
    <row r="79" spans="1:18" ht="15.75" customHeight="1" x14ac:dyDescent="0.2">
      <c r="A79" s="417">
        <v>10</v>
      </c>
      <c r="B79" s="418" t="s">
        <v>79</v>
      </c>
      <c r="C79" s="43">
        <v>2019</v>
      </c>
      <c r="D79" s="98"/>
      <c r="E79" s="98"/>
      <c r="F79" s="98"/>
      <c r="G79" s="98"/>
      <c r="H79" s="153">
        <f>I79+J79+K79+L79</f>
        <v>0</v>
      </c>
      <c r="I79" s="74"/>
      <c r="J79" s="49"/>
      <c r="K79" s="49"/>
      <c r="L79" s="49"/>
      <c r="M79" s="49">
        <f t="shared" si="15"/>
        <v>0</v>
      </c>
      <c r="N79" s="99"/>
      <c r="O79" s="99"/>
      <c r="P79" s="99"/>
      <c r="Q79" s="99"/>
      <c r="R79" s="422"/>
    </row>
    <row r="80" spans="1:18" ht="13.5" customHeight="1" x14ac:dyDescent="0.2">
      <c r="A80" s="417"/>
      <c r="B80" s="418"/>
      <c r="C80" s="43" t="s">
        <v>24</v>
      </c>
      <c r="D80" s="98">
        <v>2670</v>
      </c>
      <c r="E80" s="98">
        <v>9463.77</v>
      </c>
      <c r="F80" s="98">
        <v>27.48</v>
      </c>
      <c r="G80" s="98">
        <v>14</v>
      </c>
      <c r="H80" s="153">
        <f>I80+J80+K80+L80</f>
        <v>3000</v>
      </c>
      <c r="I80" s="74"/>
      <c r="J80" s="158">
        <v>3000</v>
      </c>
      <c r="K80" s="49"/>
      <c r="L80" s="49"/>
      <c r="M80" s="49">
        <f t="shared" si="15"/>
        <v>3000</v>
      </c>
      <c r="N80" s="99" t="s">
        <v>49</v>
      </c>
      <c r="O80" s="99"/>
      <c r="P80" s="99"/>
      <c r="Q80" s="99"/>
      <c r="R80" s="422"/>
    </row>
    <row r="81" spans="1:18" ht="13.5" customHeight="1" x14ac:dyDescent="0.2">
      <c r="A81" s="417"/>
      <c r="B81" s="418"/>
      <c r="C81" s="43">
        <v>2021</v>
      </c>
      <c r="D81" s="98"/>
      <c r="E81" s="98"/>
      <c r="F81" s="98"/>
      <c r="G81" s="98"/>
      <c r="H81" s="153">
        <f>I81+J81+K81+L81</f>
        <v>29500</v>
      </c>
      <c r="I81" s="74"/>
      <c r="J81" s="49">
        <v>4500</v>
      </c>
      <c r="K81" s="49">
        <v>25000</v>
      </c>
      <c r="L81" s="49"/>
      <c r="M81" s="49">
        <f t="shared" si="15"/>
        <v>29500</v>
      </c>
      <c r="N81" s="99"/>
      <c r="O81" s="99" t="s">
        <v>51</v>
      </c>
      <c r="P81" s="99" t="s">
        <v>53</v>
      </c>
      <c r="Q81" s="99"/>
      <c r="R81" s="422"/>
    </row>
    <row r="82" spans="1:18" ht="13.5" customHeight="1" x14ac:dyDescent="0.2">
      <c r="A82" s="417"/>
      <c r="B82" s="418"/>
      <c r="C82" s="43">
        <v>2022</v>
      </c>
      <c r="D82" s="98"/>
      <c r="E82" s="98"/>
      <c r="F82" s="98"/>
      <c r="G82" s="98"/>
      <c r="H82" s="153">
        <f>I82+J82+K82+L82</f>
        <v>24549.55</v>
      </c>
      <c r="I82" s="74"/>
      <c r="J82" s="49"/>
      <c r="K82" s="49">
        <v>24549.55</v>
      </c>
      <c r="L82" s="49"/>
      <c r="M82" s="49">
        <f t="shared" si="15"/>
        <v>24549.55</v>
      </c>
      <c r="N82" s="99"/>
      <c r="O82" s="99"/>
      <c r="P82" s="99"/>
      <c r="Q82" s="99" t="s">
        <v>49</v>
      </c>
      <c r="R82" s="422"/>
    </row>
    <row r="83" spans="1:18" ht="13.5" customHeight="1" x14ac:dyDescent="0.2">
      <c r="A83" s="417"/>
      <c r="B83" s="418"/>
      <c r="C83" s="43">
        <v>2023</v>
      </c>
      <c r="D83" s="98"/>
      <c r="E83" s="98"/>
      <c r="F83" s="98"/>
      <c r="G83" s="98"/>
      <c r="H83" s="153">
        <f>I83+J83+K83+L83</f>
        <v>0</v>
      </c>
      <c r="I83" s="74"/>
      <c r="J83" s="49"/>
      <c r="K83" s="49"/>
      <c r="L83" s="49"/>
      <c r="M83" s="49">
        <f t="shared" si="15"/>
        <v>0</v>
      </c>
      <c r="N83" s="99"/>
      <c r="O83" s="99"/>
      <c r="P83" s="99"/>
      <c r="Q83" s="99"/>
      <c r="R83" s="422"/>
    </row>
    <row r="84" spans="1:18" ht="13.5" customHeight="1" x14ac:dyDescent="0.2">
      <c r="A84" s="417"/>
      <c r="B84" s="418"/>
      <c r="C84" s="43" t="s">
        <v>26</v>
      </c>
      <c r="D84" s="60">
        <f>SUM(D79:D83)</f>
        <v>2670</v>
      </c>
      <c r="E84" s="60">
        <f t="shared" ref="E84:L84" si="17">SUM(E79:E83)</f>
        <v>9463.77</v>
      </c>
      <c r="F84" s="60">
        <f t="shared" si="17"/>
        <v>27.48</v>
      </c>
      <c r="G84" s="60">
        <f t="shared" si="17"/>
        <v>14</v>
      </c>
      <c r="H84" s="60">
        <f t="shared" si="17"/>
        <v>57049.55</v>
      </c>
      <c r="I84" s="60">
        <f t="shared" si="17"/>
        <v>0</v>
      </c>
      <c r="J84" s="60">
        <f>SUM(J79:J83)</f>
        <v>7500</v>
      </c>
      <c r="K84" s="60">
        <f>SUM(K79:K83)</f>
        <v>49549.55</v>
      </c>
      <c r="L84" s="60">
        <f t="shared" si="17"/>
        <v>0</v>
      </c>
      <c r="M84" s="49">
        <f t="shared" si="15"/>
        <v>57049.55</v>
      </c>
      <c r="N84" s="99"/>
      <c r="O84" s="99"/>
      <c r="P84" s="99"/>
      <c r="Q84" s="99"/>
      <c r="R84" s="422"/>
    </row>
    <row r="85" spans="1:18" ht="16.5" customHeight="1" x14ac:dyDescent="0.2">
      <c r="A85" s="429">
        <v>11</v>
      </c>
      <c r="B85" s="418" t="s">
        <v>118</v>
      </c>
      <c r="C85" s="43">
        <v>2019</v>
      </c>
      <c r="D85" s="98"/>
      <c r="E85" s="60"/>
      <c r="F85" s="60"/>
      <c r="G85" s="60"/>
      <c r="H85" s="153"/>
      <c r="I85" s="60"/>
      <c r="J85" s="40"/>
      <c r="K85" s="40"/>
      <c r="L85" s="40"/>
      <c r="M85" s="49">
        <f t="shared" si="15"/>
        <v>0</v>
      </c>
      <c r="N85" s="99"/>
      <c r="O85" s="99"/>
      <c r="P85" s="99"/>
      <c r="Q85" s="99"/>
      <c r="R85" s="422"/>
    </row>
    <row r="86" spans="1:18" ht="16.5" customHeight="1" x14ac:dyDescent="0.2">
      <c r="A86" s="430"/>
      <c r="B86" s="418"/>
      <c r="C86" s="43" t="s">
        <v>24</v>
      </c>
      <c r="D86" s="98">
        <v>80</v>
      </c>
      <c r="E86" s="60">
        <v>445.9</v>
      </c>
      <c r="F86" s="60">
        <v>1.88</v>
      </c>
      <c r="G86" s="60">
        <v>6.4</v>
      </c>
      <c r="H86" s="153"/>
      <c r="I86" s="60"/>
      <c r="J86" s="40">
        <v>1500</v>
      </c>
      <c r="K86" s="40"/>
      <c r="L86" s="40"/>
      <c r="M86" s="49">
        <f t="shared" si="15"/>
        <v>1500</v>
      </c>
      <c r="N86" s="99" t="s">
        <v>48</v>
      </c>
      <c r="O86" s="99"/>
      <c r="P86" s="99"/>
      <c r="Q86" s="99"/>
      <c r="R86" s="422"/>
    </row>
    <row r="87" spans="1:18" ht="16.5" customHeight="1" x14ac:dyDescent="0.2">
      <c r="A87" s="430"/>
      <c r="B87" s="418"/>
      <c r="C87" s="43">
        <v>2021</v>
      </c>
      <c r="D87" s="98"/>
      <c r="E87" s="60"/>
      <c r="F87" s="60"/>
      <c r="G87" s="60"/>
      <c r="H87" s="153"/>
      <c r="I87" s="60"/>
      <c r="J87" s="40">
        <f>3008+1500</f>
        <v>4508</v>
      </c>
      <c r="K87" s="40">
        <v>5300</v>
      </c>
      <c r="L87" s="40"/>
      <c r="M87" s="49">
        <f t="shared" si="15"/>
        <v>9808</v>
      </c>
      <c r="N87" s="99"/>
      <c r="O87" s="99" t="s">
        <v>53</v>
      </c>
      <c r="P87" s="99" t="s">
        <v>57</v>
      </c>
      <c r="Q87" s="99"/>
      <c r="R87" s="422"/>
    </row>
    <row r="88" spans="1:18" ht="16.5" customHeight="1" x14ac:dyDescent="0.2">
      <c r="A88" s="430"/>
      <c r="B88" s="418"/>
      <c r="C88" s="43">
        <v>2022</v>
      </c>
      <c r="D88" s="98"/>
      <c r="E88" s="60"/>
      <c r="F88" s="60"/>
      <c r="G88" s="60"/>
      <c r="H88" s="153"/>
      <c r="I88" s="60"/>
      <c r="J88" s="40"/>
      <c r="K88" s="40">
        <v>5000</v>
      </c>
      <c r="L88" s="40"/>
      <c r="M88" s="49">
        <f t="shared" si="15"/>
        <v>5000</v>
      </c>
      <c r="N88" s="99"/>
      <c r="O88" s="99"/>
      <c r="P88" s="99"/>
      <c r="Q88" s="99" t="s">
        <v>47</v>
      </c>
      <c r="R88" s="422"/>
    </row>
    <row r="89" spans="1:18" ht="16.5" customHeight="1" x14ac:dyDescent="0.2">
      <c r="A89" s="430"/>
      <c r="B89" s="418"/>
      <c r="C89" s="43">
        <v>2023</v>
      </c>
      <c r="D89" s="98"/>
      <c r="E89" s="60"/>
      <c r="F89" s="60"/>
      <c r="G89" s="60"/>
      <c r="H89" s="153"/>
      <c r="I89" s="60"/>
      <c r="J89" s="40"/>
      <c r="K89" s="40"/>
      <c r="L89" s="40"/>
      <c r="M89" s="49">
        <f t="shared" si="15"/>
        <v>0</v>
      </c>
      <c r="N89" s="99"/>
      <c r="O89" s="99"/>
      <c r="P89" s="99"/>
      <c r="Q89" s="99"/>
      <c r="R89" s="422"/>
    </row>
    <row r="90" spans="1:18" ht="15.75" customHeight="1" x14ac:dyDescent="0.2">
      <c r="A90" s="431"/>
      <c r="B90" s="418"/>
      <c r="C90" s="43" t="s">
        <v>26</v>
      </c>
      <c r="D90" s="98">
        <f>SUM(D85:D89)</f>
        <v>80</v>
      </c>
      <c r="E90" s="98">
        <f t="shared" ref="E90:L90" si="18">SUM(E85:E89)</f>
        <v>445.9</v>
      </c>
      <c r="F90" s="98">
        <f t="shared" si="18"/>
        <v>1.88</v>
      </c>
      <c r="G90" s="98">
        <f t="shared" si="18"/>
        <v>6.4</v>
      </c>
      <c r="H90" s="48">
        <f>SUM(H85:H89)</f>
        <v>0</v>
      </c>
      <c r="I90" s="98">
        <f t="shared" si="18"/>
        <v>0</v>
      </c>
      <c r="J90" s="98">
        <f t="shared" si="18"/>
        <v>6008</v>
      </c>
      <c r="K90" s="98">
        <f t="shared" si="18"/>
        <v>10300</v>
      </c>
      <c r="L90" s="98">
        <f t="shared" si="18"/>
        <v>0</v>
      </c>
      <c r="M90" s="48">
        <f>SUM(M85:M89)</f>
        <v>16308</v>
      </c>
      <c r="N90" s="99"/>
      <c r="O90" s="99"/>
      <c r="P90" s="99"/>
      <c r="Q90" s="99"/>
      <c r="R90" s="422"/>
    </row>
    <row r="91" spans="1:18" x14ac:dyDescent="0.2">
      <c r="A91" s="426" t="s">
        <v>29</v>
      </c>
      <c r="B91" s="426"/>
      <c r="C91" s="43">
        <v>2019</v>
      </c>
      <c r="D91" s="38">
        <f t="shared" ref="D91:L91" si="19">SUMIF($C73:$C90,"2019",D73:D90)</f>
        <v>0</v>
      </c>
      <c r="E91" s="38">
        <f t="shared" si="19"/>
        <v>0</v>
      </c>
      <c r="F91" s="38">
        <f t="shared" si="19"/>
        <v>0</v>
      </c>
      <c r="G91" s="38">
        <f t="shared" si="19"/>
        <v>0</v>
      </c>
      <c r="H91" s="38">
        <f t="shared" si="19"/>
        <v>0</v>
      </c>
      <c r="I91" s="38">
        <f t="shared" si="19"/>
        <v>0</v>
      </c>
      <c r="J91" s="38">
        <f t="shared" si="19"/>
        <v>0</v>
      </c>
      <c r="K91" s="38">
        <f t="shared" si="19"/>
        <v>0</v>
      </c>
      <c r="L91" s="38">
        <f t="shared" si="19"/>
        <v>0</v>
      </c>
      <c r="M91" s="49">
        <f t="shared" ref="M91:M96" si="20">J91+K91+L91</f>
        <v>0</v>
      </c>
      <c r="N91" s="99"/>
      <c r="O91" s="99"/>
      <c r="P91" s="99"/>
      <c r="Q91" s="99"/>
      <c r="R91" s="422"/>
    </row>
    <row r="92" spans="1:18" x14ac:dyDescent="0.2">
      <c r="A92" s="426"/>
      <c r="B92" s="426"/>
      <c r="C92" s="43" t="s">
        <v>24</v>
      </c>
      <c r="D92" s="38">
        <f t="shared" ref="D92:L92" si="21">SUMIF($C73:$C90,"2020",D73:D90)</f>
        <v>2750</v>
      </c>
      <c r="E92" s="38">
        <f t="shared" si="21"/>
        <v>9909.67</v>
      </c>
      <c r="F92" s="38">
        <f t="shared" si="21"/>
        <v>29.36</v>
      </c>
      <c r="G92" s="38">
        <f t="shared" si="21"/>
        <v>20.399999999999999</v>
      </c>
      <c r="H92" s="38">
        <f t="shared" si="21"/>
        <v>3000</v>
      </c>
      <c r="I92" s="38">
        <f t="shared" si="21"/>
        <v>0</v>
      </c>
      <c r="J92" s="38">
        <f t="shared" si="21"/>
        <v>4500</v>
      </c>
      <c r="K92" s="38">
        <f t="shared" si="21"/>
        <v>0</v>
      </c>
      <c r="L92" s="38">
        <f t="shared" si="21"/>
        <v>0</v>
      </c>
      <c r="M92" s="49">
        <f t="shared" si="20"/>
        <v>4500</v>
      </c>
      <c r="N92" s="99"/>
      <c r="O92" s="99"/>
      <c r="P92" s="99"/>
      <c r="Q92" s="99"/>
      <c r="R92" s="422"/>
    </row>
    <row r="93" spans="1:18" x14ac:dyDescent="0.2">
      <c r="A93" s="426"/>
      <c r="B93" s="426"/>
      <c r="C93" s="43">
        <v>2021</v>
      </c>
      <c r="D93" s="38">
        <f t="shared" ref="D93:L93" si="22">SUMIF($C73:$C90,"2021",D73:D90)</f>
        <v>148</v>
      </c>
      <c r="E93" s="38">
        <f t="shared" si="22"/>
        <v>0</v>
      </c>
      <c r="F93" s="38">
        <f t="shared" si="22"/>
        <v>0</v>
      </c>
      <c r="G93" s="38">
        <f t="shared" si="22"/>
        <v>0</v>
      </c>
      <c r="H93" s="38">
        <f t="shared" si="22"/>
        <v>29500</v>
      </c>
      <c r="I93" s="38">
        <f t="shared" si="22"/>
        <v>0</v>
      </c>
      <c r="J93" s="38">
        <f t="shared" si="22"/>
        <v>9008</v>
      </c>
      <c r="K93" s="38">
        <f t="shared" si="22"/>
        <v>30300</v>
      </c>
      <c r="L93" s="38">
        <f t="shared" si="22"/>
        <v>0</v>
      </c>
      <c r="M93" s="49">
        <f t="shared" si="20"/>
        <v>39308</v>
      </c>
      <c r="N93" s="99"/>
      <c r="O93" s="99"/>
      <c r="P93" s="99"/>
      <c r="Q93" s="99"/>
      <c r="R93" s="422"/>
    </row>
    <row r="94" spans="1:18" x14ac:dyDescent="0.2">
      <c r="A94" s="426"/>
      <c r="B94" s="426"/>
      <c r="C94" s="43">
        <v>2022</v>
      </c>
      <c r="D94" s="38">
        <f t="shared" ref="D94:L94" si="23">SUMIF($C73:$C90,"2022",D73:D90)</f>
        <v>0</v>
      </c>
      <c r="E94" s="38">
        <f t="shared" si="23"/>
        <v>207.535</v>
      </c>
      <c r="F94" s="38">
        <f t="shared" si="23"/>
        <v>0.4199</v>
      </c>
      <c r="G94" s="38">
        <f t="shared" si="23"/>
        <v>4</v>
      </c>
      <c r="H94" s="38">
        <f t="shared" si="23"/>
        <v>38374.550000000003</v>
      </c>
      <c r="I94" s="38">
        <f t="shared" si="23"/>
        <v>0</v>
      </c>
      <c r="J94" s="38">
        <f t="shared" si="23"/>
        <v>3000</v>
      </c>
      <c r="K94" s="38">
        <f t="shared" si="23"/>
        <v>40374.550000000003</v>
      </c>
      <c r="L94" s="38">
        <f t="shared" si="23"/>
        <v>0</v>
      </c>
      <c r="M94" s="49">
        <f t="shared" si="20"/>
        <v>43374.55</v>
      </c>
      <c r="N94" s="99"/>
      <c r="O94" s="99"/>
      <c r="P94" s="99"/>
      <c r="Q94" s="99"/>
      <c r="R94" s="422"/>
    </row>
    <row r="95" spans="1:18" x14ac:dyDescent="0.2">
      <c r="A95" s="426"/>
      <c r="B95" s="426"/>
      <c r="C95" s="43">
        <v>2023</v>
      </c>
      <c r="D95" s="38">
        <f t="shared" ref="D95:L95" si="24">SUMIF($C73:$C90,"2023",D73:D90)</f>
        <v>0</v>
      </c>
      <c r="E95" s="38">
        <f t="shared" si="24"/>
        <v>0</v>
      </c>
      <c r="F95" s="38">
        <f t="shared" si="24"/>
        <v>0</v>
      </c>
      <c r="G95" s="38">
        <f t="shared" si="24"/>
        <v>0</v>
      </c>
      <c r="H95" s="38">
        <f t="shared" si="24"/>
        <v>6000</v>
      </c>
      <c r="I95" s="38">
        <f t="shared" si="24"/>
        <v>0</v>
      </c>
      <c r="J95" s="38">
        <f t="shared" si="24"/>
        <v>0</v>
      </c>
      <c r="K95" s="38">
        <f t="shared" si="24"/>
        <v>6000</v>
      </c>
      <c r="L95" s="38">
        <f t="shared" si="24"/>
        <v>0</v>
      </c>
      <c r="M95" s="49">
        <f t="shared" si="20"/>
        <v>6000</v>
      </c>
      <c r="N95" s="99"/>
      <c r="O95" s="99"/>
      <c r="P95" s="99"/>
      <c r="Q95" s="99"/>
      <c r="R95" s="422"/>
    </row>
    <row r="96" spans="1:18" x14ac:dyDescent="0.2">
      <c r="A96" s="426"/>
      <c r="B96" s="426"/>
      <c r="C96" s="43" t="s">
        <v>12</v>
      </c>
      <c r="D96" s="60">
        <f t="shared" ref="D96:L96" si="25">SUM(D91:D95)</f>
        <v>2898</v>
      </c>
      <c r="E96" s="60">
        <f t="shared" si="25"/>
        <v>10117.205</v>
      </c>
      <c r="F96" s="60">
        <f t="shared" si="25"/>
        <v>29.779899999999998</v>
      </c>
      <c r="G96" s="60">
        <f t="shared" si="25"/>
        <v>24.4</v>
      </c>
      <c r="H96" s="60">
        <f t="shared" si="25"/>
        <v>76874.55</v>
      </c>
      <c r="I96" s="60">
        <f t="shared" si="25"/>
        <v>0</v>
      </c>
      <c r="J96" s="60">
        <f t="shared" si="25"/>
        <v>16508</v>
      </c>
      <c r="K96" s="60">
        <f t="shared" si="25"/>
        <v>76674.55</v>
      </c>
      <c r="L96" s="60">
        <f t="shared" si="25"/>
        <v>0</v>
      </c>
      <c r="M96" s="49">
        <f t="shared" si="20"/>
        <v>93182.55</v>
      </c>
      <c r="N96" s="99"/>
      <c r="O96" s="99"/>
      <c r="P96" s="99"/>
      <c r="Q96" s="99"/>
      <c r="R96" s="422"/>
    </row>
    <row r="97" spans="1:18" x14ac:dyDescent="0.2">
      <c r="A97" s="427" t="s">
        <v>4</v>
      </c>
      <c r="B97" s="428"/>
      <c r="C97" s="66"/>
      <c r="D97" s="67"/>
      <c r="E97" s="98"/>
      <c r="F97" s="67"/>
      <c r="G97" s="67"/>
      <c r="H97" s="66"/>
      <c r="I97" s="66"/>
      <c r="J97" s="68"/>
      <c r="K97" s="68"/>
      <c r="L97" s="68"/>
      <c r="M97" s="68"/>
      <c r="N97" s="66"/>
      <c r="O97" s="66"/>
      <c r="P97" s="66"/>
      <c r="Q97" s="66"/>
      <c r="R97" s="436" t="s">
        <v>95</v>
      </c>
    </row>
    <row r="98" spans="1:18" ht="15" customHeight="1" x14ac:dyDescent="0.2">
      <c r="A98" s="437">
        <v>12</v>
      </c>
      <c r="B98" s="438" t="s">
        <v>59</v>
      </c>
      <c r="C98" s="43">
        <v>2019</v>
      </c>
      <c r="D98" s="98">
        <v>25</v>
      </c>
      <c r="E98" s="98">
        <v>202.8</v>
      </c>
      <c r="F98" s="98">
        <v>0.27</v>
      </c>
      <c r="G98" s="98">
        <v>3.15</v>
      </c>
      <c r="H98" s="153">
        <f>I98+J98+K98+L98</f>
        <v>12878.516</v>
      </c>
      <c r="I98" s="74">
        <v>4337.45</v>
      </c>
      <c r="J98" s="49"/>
      <c r="K98" s="49">
        <v>8541.0660000000007</v>
      </c>
      <c r="L98" s="49"/>
      <c r="M98" s="49">
        <f t="shared" ref="M98:M103" si="26">J98+K98+L98</f>
        <v>8541.0660000000007</v>
      </c>
      <c r="N98" s="99" t="s">
        <v>30</v>
      </c>
      <c r="O98" s="99">
        <v>2016</v>
      </c>
      <c r="P98" s="99" t="s">
        <v>54</v>
      </c>
      <c r="Q98" s="99" t="s">
        <v>55</v>
      </c>
      <c r="R98" s="436"/>
    </row>
    <row r="99" spans="1:18" ht="15" customHeight="1" x14ac:dyDescent="0.2">
      <c r="A99" s="437"/>
      <c r="B99" s="438"/>
      <c r="C99" s="43" t="s">
        <v>24</v>
      </c>
      <c r="D99" s="98"/>
      <c r="E99" s="98"/>
      <c r="F99" s="98"/>
      <c r="G99" s="98"/>
      <c r="H99" s="153">
        <f>I99+J99+K99+L99</f>
        <v>0</v>
      </c>
      <c r="I99" s="74"/>
      <c r="J99" s="49"/>
      <c r="K99" s="49"/>
      <c r="L99" s="49"/>
      <c r="M99" s="49">
        <f t="shared" si="26"/>
        <v>0</v>
      </c>
      <c r="N99" s="99"/>
      <c r="O99" s="99"/>
      <c r="P99" s="99"/>
      <c r="Q99" s="99"/>
      <c r="R99" s="436"/>
    </row>
    <row r="100" spans="1:18" ht="15" customHeight="1" x14ac:dyDescent="0.2">
      <c r="A100" s="437"/>
      <c r="B100" s="438"/>
      <c r="C100" s="43">
        <v>2021</v>
      </c>
      <c r="D100" s="98"/>
      <c r="E100" s="98"/>
      <c r="F100" s="98"/>
      <c r="G100" s="98"/>
      <c r="H100" s="153">
        <f>I100+J100+K100+L100</f>
        <v>0</v>
      </c>
      <c r="I100" s="74"/>
      <c r="J100" s="49"/>
      <c r="K100" s="49"/>
      <c r="L100" s="49"/>
      <c r="M100" s="49">
        <f t="shared" si="26"/>
        <v>0</v>
      </c>
      <c r="N100" s="99"/>
      <c r="O100" s="99"/>
      <c r="P100" s="99"/>
      <c r="Q100" s="99"/>
      <c r="R100" s="436"/>
    </row>
    <row r="101" spans="1:18" x14ac:dyDescent="0.2">
      <c r="A101" s="437"/>
      <c r="B101" s="438"/>
      <c r="C101" s="43">
        <v>2022</v>
      </c>
      <c r="D101" s="98"/>
      <c r="E101" s="98"/>
      <c r="F101" s="98"/>
      <c r="G101" s="98"/>
      <c r="H101" s="153">
        <f>I101+J101+K101+L101</f>
        <v>0</v>
      </c>
      <c r="I101" s="74"/>
      <c r="J101" s="49"/>
      <c r="K101" s="49"/>
      <c r="L101" s="49"/>
      <c r="M101" s="49">
        <f t="shared" si="26"/>
        <v>0</v>
      </c>
      <c r="N101" s="99"/>
      <c r="O101" s="99"/>
      <c r="P101" s="99"/>
      <c r="Q101" s="99"/>
      <c r="R101" s="436"/>
    </row>
    <row r="102" spans="1:18" x14ac:dyDescent="0.2">
      <c r="A102" s="437"/>
      <c r="B102" s="438"/>
      <c r="C102" s="43">
        <v>2023</v>
      </c>
      <c r="D102" s="98"/>
      <c r="E102" s="98"/>
      <c r="F102" s="98"/>
      <c r="G102" s="98"/>
      <c r="H102" s="153">
        <f>I102+J102+K102+L102</f>
        <v>0</v>
      </c>
      <c r="I102" s="74"/>
      <c r="J102" s="49"/>
      <c r="K102" s="49"/>
      <c r="L102" s="49"/>
      <c r="M102" s="49">
        <f t="shared" si="26"/>
        <v>0</v>
      </c>
      <c r="N102" s="99"/>
      <c r="O102" s="99"/>
      <c r="P102" s="99"/>
      <c r="Q102" s="99"/>
      <c r="R102" s="436"/>
    </row>
    <row r="103" spans="1:18" x14ac:dyDescent="0.2">
      <c r="A103" s="437"/>
      <c r="B103" s="438"/>
      <c r="C103" s="43" t="s">
        <v>26</v>
      </c>
      <c r="D103" s="60">
        <f>SUM(D98:D102)</f>
        <v>25</v>
      </c>
      <c r="E103" s="60">
        <f t="shared" ref="E103:L103" si="27">SUM(E98:E102)</f>
        <v>202.8</v>
      </c>
      <c r="F103" s="60">
        <f t="shared" si="27"/>
        <v>0.27</v>
      </c>
      <c r="G103" s="60">
        <f t="shared" si="27"/>
        <v>3.15</v>
      </c>
      <c r="H103" s="60">
        <f>SUM(H98:H102)</f>
        <v>12878.516</v>
      </c>
      <c r="I103" s="60">
        <f t="shared" si="27"/>
        <v>4337.45</v>
      </c>
      <c r="J103" s="40">
        <f t="shared" si="27"/>
        <v>0</v>
      </c>
      <c r="K103" s="40">
        <f t="shared" si="27"/>
        <v>8541.0660000000007</v>
      </c>
      <c r="L103" s="40">
        <f t="shared" si="27"/>
        <v>0</v>
      </c>
      <c r="M103" s="49">
        <f t="shared" si="26"/>
        <v>8541.0660000000007</v>
      </c>
      <c r="N103" s="99"/>
      <c r="O103" s="99"/>
      <c r="P103" s="99"/>
      <c r="Q103" s="99"/>
      <c r="R103" s="436"/>
    </row>
    <row r="104" spans="1:18" x14ac:dyDescent="0.2">
      <c r="A104" s="439" t="s">
        <v>29</v>
      </c>
      <c r="B104" s="440"/>
      <c r="C104" s="43">
        <v>2019</v>
      </c>
      <c r="D104" s="159">
        <f>D98</f>
        <v>25</v>
      </c>
      <c r="E104" s="159">
        <f t="shared" ref="E104:L104" si="28">E98</f>
        <v>202.8</v>
      </c>
      <c r="F104" s="159">
        <f t="shared" si="28"/>
        <v>0.27</v>
      </c>
      <c r="G104" s="159">
        <f t="shared" si="28"/>
        <v>3.15</v>
      </c>
      <c r="H104" s="159">
        <f t="shared" si="28"/>
        <v>12878.516</v>
      </c>
      <c r="I104" s="159">
        <f t="shared" si="28"/>
        <v>4337.45</v>
      </c>
      <c r="J104" s="159">
        <f t="shared" si="28"/>
        <v>0</v>
      </c>
      <c r="K104" s="159">
        <f t="shared" si="28"/>
        <v>8541.0660000000007</v>
      </c>
      <c r="L104" s="159">
        <f t="shared" si="28"/>
        <v>0</v>
      </c>
      <c r="M104" s="159">
        <f>SUM(J104:L104)</f>
        <v>8541.0660000000007</v>
      </c>
      <c r="N104" s="99"/>
      <c r="O104" s="99"/>
      <c r="P104" s="99"/>
      <c r="Q104" s="99"/>
      <c r="R104" s="422"/>
    </row>
    <row r="105" spans="1:18" x14ac:dyDescent="0.2">
      <c r="A105" s="441"/>
      <c r="B105" s="442"/>
      <c r="C105" s="43" t="s">
        <v>24</v>
      </c>
      <c r="D105" s="159">
        <f t="shared" ref="D105:K108" si="29">D99</f>
        <v>0</v>
      </c>
      <c r="E105" s="159">
        <f t="shared" si="29"/>
        <v>0</v>
      </c>
      <c r="F105" s="159">
        <f t="shared" si="29"/>
        <v>0</v>
      </c>
      <c r="G105" s="159">
        <f t="shared" si="29"/>
        <v>0</v>
      </c>
      <c r="H105" s="159">
        <f t="shared" si="29"/>
        <v>0</v>
      </c>
      <c r="I105" s="159">
        <f t="shared" si="29"/>
        <v>0</v>
      </c>
      <c r="J105" s="159">
        <f t="shared" si="29"/>
        <v>0</v>
      </c>
      <c r="K105" s="159">
        <f t="shared" si="29"/>
        <v>0</v>
      </c>
      <c r="L105" s="159">
        <f>L99+L293</f>
        <v>0</v>
      </c>
      <c r="M105" s="159">
        <f>SUM(J105:L105)</f>
        <v>0</v>
      </c>
      <c r="N105" s="99"/>
      <c r="O105" s="99"/>
      <c r="P105" s="99"/>
      <c r="Q105" s="99"/>
      <c r="R105" s="422"/>
    </row>
    <row r="106" spans="1:18" x14ac:dyDescent="0.2">
      <c r="A106" s="441"/>
      <c r="B106" s="442"/>
      <c r="C106" s="43" t="s">
        <v>25</v>
      </c>
      <c r="D106" s="159">
        <f t="shared" si="29"/>
        <v>0</v>
      </c>
      <c r="E106" s="159">
        <f t="shared" si="29"/>
        <v>0</v>
      </c>
      <c r="F106" s="159">
        <f t="shared" si="29"/>
        <v>0</v>
      </c>
      <c r="G106" s="159">
        <f t="shared" si="29"/>
        <v>0</v>
      </c>
      <c r="H106" s="159">
        <f t="shared" si="29"/>
        <v>0</v>
      </c>
      <c r="I106" s="159">
        <f t="shared" si="29"/>
        <v>0</v>
      </c>
      <c r="J106" s="159">
        <f t="shared" si="29"/>
        <v>0</v>
      </c>
      <c r="K106" s="159">
        <f t="shared" si="29"/>
        <v>0</v>
      </c>
      <c r="L106" s="159">
        <f>L100+L294</f>
        <v>0</v>
      </c>
      <c r="M106" s="159">
        <f>SUM(J106:L106)</f>
        <v>0</v>
      </c>
      <c r="N106" s="99"/>
      <c r="O106" s="99"/>
      <c r="P106" s="99"/>
      <c r="Q106" s="99"/>
      <c r="R106" s="422"/>
    </row>
    <row r="107" spans="1:18" x14ac:dyDescent="0.2">
      <c r="A107" s="441"/>
      <c r="B107" s="442"/>
      <c r="C107" s="43">
        <v>2022</v>
      </c>
      <c r="D107" s="159">
        <f t="shared" si="29"/>
        <v>0</v>
      </c>
      <c r="E107" s="159">
        <f t="shared" si="29"/>
        <v>0</v>
      </c>
      <c r="F107" s="159">
        <f t="shared" si="29"/>
        <v>0</v>
      </c>
      <c r="G107" s="159">
        <f t="shared" si="29"/>
        <v>0</v>
      </c>
      <c r="H107" s="159">
        <f t="shared" si="29"/>
        <v>0</v>
      </c>
      <c r="I107" s="159">
        <f t="shared" si="29"/>
        <v>0</v>
      </c>
      <c r="J107" s="159">
        <f t="shared" si="29"/>
        <v>0</v>
      </c>
      <c r="K107" s="159">
        <f t="shared" si="29"/>
        <v>0</v>
      </c>
      <c r="L107" s="159">
        <f>L101+L295</f>
        <v>0</v>
      </c>
      <c r="M107" s="159">
        <f>SUM(J107:L107)</f>
        <v>0</v>
      </c>
      <c r="N107" s="99"/>
      <c r="O107" s="99"/>
      <c r="P107" s="99"/>
      <c r="Q107" s="99"/>
      <c r="R107" s="422"/>
    </row>
    <row r="108" spans="1:18" x14ac:dyDescent="0.2">
      <c r="A108" s="441"/>
      <c r="B108" s="442"/>
      <c r="C108" s="43">
        <v>2023</v>
      </c>
      <c r="D108" s="159">
        <f t="shared" si="29"/>
        <v>0</v>
      </c>
      <c r="E108" s="159">
        <f t="shared" si="29"/>
        <v>0</v>
      </c>
      <c r="F108" s="159">
        <f t="shared" si="29"/>
        <v>0</v>
      </c>
      <c r="G108" s="159">
        <f t="shared" si="29"/>
        <v>0</v>
      </c>
      <c r="H108" s="159">
        <f t="shared" si="29"/>
        <v>0</v>
      </c>
      <c r="I108" s="159">
        <f t="shared" si="29"/>
        <v>0</v>
      </c>
      <c r="J108" s="159">
        <f t="shared" si="29"/>
        <v>0</v>
      </c>
      <c r="K108" s="159">
        <f t="shared" si="29"/>
        <v>0</v>
      </c>
      <c r="L108" s="159">
        <f>L102+L296</f>
        <v>0</v>
      </c>
      <c r="M108" s="159">
        <f>SUM(J108:L108)</f>
        <v>0</v>
      </c>
      <c r="N108" s="99"/>
      <c r="O108" s="99"/>
      <c r="P108" s="99"/>
      <c r="Q108" s="99"/>
      <c r="R108" s="422"/>
    </row>
    <row r="109" spans="1:18" x14ac:dyDescent="0.2">
      <c r="A109" s="443"/>
      <c r="B109" s="444"/>
      <c r="C109" s="43" t="s">
        <v>12</v>
      </c>
      <c r="D109" s="159">
        <f>SUM(D104:D108)</f>
        <v>25</v>
      </c>
      <c r="E109" s="159">
        <f t="shared" ref="E109:J109" si="30">SUM(E104:E108)</f>
        <v>202.8</v>
      </c>
      <c r="F109" s="159">
        <f t="shared" si="30"/>
        <v>0.27</v>
      </c>
      <c r="G109" s="159">
        <f t="shared" si="30"/>
        <v>3.15</v>
      </c>
      <c r="H109" s="159">
        <f t="shared" si="30"/>
        <v>12878.516</v>
      </c>
      <c r="I109" s="159">
        <f t="shared" si="30"/>
        <v>4337.45</v>
      </c>
      <c r="J109" s="159">
        <f t="shared" si="30"/>
        <v>0</v>
      </c>
      <c r="K109" s="159">
        <f>SUM(K104:K108)</f>
        <v>8541.0660000000007</v>
      </c>
      <c r="L109" s="159">
        <f>SUM(L104:L108)</f>
        <v>0</v>
      </c>
      <c r="M109" s="159">
        <f>SUM(M104:M108)</f>
        <v>8541.0660000000007</v>
      </c>
      <c r="N109" s="99"/>
      <c r="O109" s="99"/>
      <c r="P109" s="99"/>
      <c r="Q109" s="99"/>
      <c r="R109" s="422"/>
    </row>
    <row r="110" spans="1:18" x14ac:dyDescent="0.2">
      <c r="A110" s="427" t="s">
        <v>7</v>
      </c>
      <c r="B110" s="428"/>
      <c r="C110" s="66"/>
      <c r="D110" s="67"/>
      <c r="E110" s="98"/>
      <c r="F110" s="67"/>
      <c r="G110" s="67"/>
      <c r="H110" s="66"/>
      <c r="I110" s="66"/>
      <c r="J110" s="68"/>
      <c r="K110" s="68"/>
      <c r="L110" s="68"/>
      <c r="M110" s="68"/>
      <c r="N110" s="66"/>
      <c r="O110" s="66"/>
      <c r="P110" s="66"/>
      <c r="Q110" s="66"/>
    </row>
    <row r="111" spans="1:18" x14ac:dyDescent="0.2">
      <c r="A111" s="417">
        <v>13</v>
      </c>
      <c r="B111" s="418" t="s">
        <v>60</v>
      </c>
      <c r="C111" s="43">
        <v>2019</v>
      </c>
      <c r="D111" s="98">
        <v>480</v>
      </c>
      <c r="E111" s="98">
        <v>760.07</v>
      </c>
      <c r="F111" s="98">
        <v>1.58</v>
      </c>
      <c r="G111" s="98">
        <v>1.9</v>
      </c>
      <c r="H111" s="46">
        <f>I111+J111+K111+L111</f>
        <v>10454.59</v>
      </c>
      <c r="I111" s="160">
        <v>2049.3000000000002</v>
      </c>
      <c r="J111" s="161"/>
      <c r="K111" s="161">
        <v>8405.2900000000009</v>
      </c>
      <c r="L111" s="161"/>
      <c r="M111" s="49">
        <f t="shared" ref="M111:M146" si="31">J111+K111+L111</f>
        <v>8405.2900000000009</v>
      </c>
      <c r="N111" s="99" t="s">
        <v>27</v>
      </c>
      <c r="O111" s="99">
        <v>2017</v>
      </c>
      <c r="P111" s="99" t="s">
        <v>47</v>
      </c>
      <c r="Q111" s="99" t="s">
        <v>51</v>
      </c>
      <c r="R111" s="422"/>
    </row>
    <row r="112" spans="1:18" x14ac:dyDescent="0.2">
      <c r="A112" s="417"/>
      <c r="B112" s="418"/>
      <c r="C112" s="43" t="s">
        <v>24</v>
      </c>
      <c r="D112" s="98"/>
      <c r="E112" s="98"/>
      <c r="F112" s="98"/>
      <c r="G112" s="98"/>
      <c r="H112" s="46">
        <f>I112+J112+K112+L112</f>
        <v>0</v>
      </c>
      <c r="I112" s="160"/>
      <c r="J112" s="161"/>
      <c r="K112" s="161"/>
      <c r="L112" s="161"/>
      <c r="M112" s="49">
        <f t="shared" si="31"/>
        <v>0</v>
      </c>
      <c r="N112" s="99"/>
      <c r="O112" s="99"/>
      <c r="P112" s="99"/>
      <c r="Q112" s="99"/>
      <c r="R112" s="422"/>
    </row>
    <row r="113" spans="1:18" x14ac:dyDescent="0.2">
      <c r="A113" s="417"/>
      <c r="B113" s="418"/>
      <c r="C113" s="43">
        <v>2021</v>
      </c>
      <c r="D113" s="98"/>
      <c r="E113" s="98"/>
      <c r="F113" s="98"/>
      <c r="G113" s="98"/>
      <c r="H113" s="46">
        <f>I113+J113+K113+L113</f>
        <v>0</v>
      </c>
      <c r="I113" s="160"/>
      <c r="J113" s="161"/>
      <c r="K113" s="161"/>
      <c r="L113" s="161"/>
      <c r="M113" s="49">
        <f t="shared" si="31"/>
        <v>0</v>
      </c>
      <c r="N113" s="99"/>
      <c r="O113" s="99"/>
      <c r="P113" s="99"/>
      <c r="Q113" s="99"/>
      <c r="R113" s="422"/>
    </row>
    <row r="114" spans="1:18" x14ac:dyDescent="0.2">
      <c r="A114" s="417"/>
      <c r="B114" s="418"/>
      <c r="C114" s="43">
        <v>2022</v>
      </c>
      <c r="D114" s="98"/>
      <c r="E114" s="98"/>
      <c r="F114" s="98"/>
      <c r="G114" s="98"/>
      <c r="H114" s="46">
        <f>I114+J114+K114+L114</f>
        <v>0</v>
      </c>
      <c r="I114" s="160"/>
      <c r="J114" s="161"/>
      <c r="K114" s="161"/>
      <c r="L114" s="161"/>
      <c r="M114" s="49">
        <f t="shared" si="31"/>
        <v>0</v>
      </c>
      <c r="N114" s="99"/>
      <c r="O114" s="99"/>
      <c r="P114" s="99"/>
      <c r="Q114" s="99"/>
      <c r="R114" s="422"/>
    </row>
    <row r="115" spans="1:18" x14ac:dyDescent="0.2">
      <c r="A115" s="417"/>
      <c r="B115" s="418"/>
      <c r="C115" s="43">
        <v>2023</v>
      </c>
      <c r="D115" s="98"/>
      <c r="E115" s="98"/>
      <c r="F115" s="98"/>
      <c r="G115" s="98"/>
      <c r="H115" s="46">
        <f>I115+J115+K115+L115</f>
        <v>0</v>
      </c>
      <c r="I115" s="160"/>
      <c r="J115" s="161"/>
      <c r="K115" s="161"/>
      <c r="L115" s="161"/>
      <c r="M115" s="49">
        <f t="shared" si="31"/>
        <v>0</v>
      </c>
      <c r="N115" s="99"/>
      <c r="O115" s="99"/>
      <c r="P115" s="99"/>
      <c r="Q115" s="99"/>
      <c r="R115" s="422"/>
    </row>
    <row r="116" spans="1:18" x14ac:dyDescent="0.2">
      <c r="A116" s="417"/>
      <c r="B116" s="418"/>
      <c r="C116" s="43" t="s">
        <v>26</v>
      </c>
      <c r="D116" s="98">
        <f>SUM(D111:D115)</f>
        <v>480</v>
      </c>
      <c r="E116" s="98">
        <f>SUM(E111:E115)</f>
        <v>760.07</v>
      </c>
      <c r="F116" s="98">
        <f t="shared" ref="F116:L116" si="32">SUM(F111:F115)</f>
        <v>1.58</v>
      </c>
      <c r="G116" s="98">
        <f t="shared" si="32"/>
        <v>1.9</v>
      </c>
      <c r="H116" s="60">
        <f>SUM(H111:H115)</f>
        <v>10454.59</v>
      </c>
      <c r="I116" s="48">
        <f>SUM(I111:I115)</f>
        <v>2049.3000000000002</v>
      </c>
      <c r="J116" s="49">
        <f t="shared" si="32"/>
        <v>0</v>
      </c>
      <c r="K116" s="49">
        <f t="shared" si="32"/>
        <v>8405.2900000000009</v>
      </c>
      <c r="L116" s="49">
        <f t="shared" si="32"/>
        <v>0</v>
      </c>
      <c r="M116" s="49">
        <f t="shared" si="31"/>
        <v>8405.2900000000009</v>
      </c>
      <c r="N116" s="99"/>
      <c r="O116" s="99"/>
      <c r="P116" s="99"/>
      <c r="Q116" s="99"/>
      <c r="R116" s="422"/>
    </row>
    <row r="117" spans="1:18" x14ac:dyDescent="0.2">
      <c r="A117" s="429">
        <v>14</v>
      </c>
      <c r="B117" s="432" t="s">
        <v>77</v>
      </c>
      <c r="C117" s="43">
        <v>2019</v>
      </c>
      <c r="D117" s="98"/>
      <c r="E117" s="98"/>
      <c r="F117" s="98"/>
      <c r="G117" s="60"/>
      <c r="H117" s="46">
        <f>SUM(J117:L117)</f>
        <v>0</v>
      </c>
      <c r="I117" s="60"/>
      <c r="J117" s="40"/>
      <c r="K117" s="40"/>
      <c r="L117" s="40"/>
      <c r="M117" s="49">
        <f t="shared" si="31"/>
        <v>0</v>
      </c>
      <c r="N117" s="99"/>
      <c r="O117" s="99"/>
      <c r="P117" s="99"/>
      <c r="Q117" s="99"/>
      <c r="R117" s="422"/>
    </row>
    <row r="118" spans="1:18" x14ac:dyDescent="0.2">
      <c r="A118" s="430"/>
      <c r="B118" s="433"/>
      <c r="C118" s="43" t="s">
        <v>24</v>
      </c>
      <c r="D118" s="98">
        <v>168</v>
      </c>
      <c r="E118" s="98">
        <v>213.12</v>
      </c>
      <c r="F118" s="98">
        <v>0.56000000000000005</v>
      </c>
      <c r="G118" s="60">
        <v>4.4000000000000004</v>
      </c>
      <c r="H118" s="46">
        <f>SUM(J118:L118)</f>
        <v>3400</v>
      </c>
      <c r="I118" s="60"/>
      <c r="J118" s="40">
        <v>3400</v>
      </c>
      <c r="K118" s="40">
        <v>0</v>
      </c>
      <c r="L118" s="40"/>
      <c r="M118" s="49">
        <f t="shared" si="31"/>
        <v>3400</v>
      </c>
      <c r="N118" s="99" t="s">
        <v>28</v>
      </c>
      <c r="O118" s="99" t="s">
        <v>53</v>
      </c>
      <c r="P118" s="99" t="s">
        <v>57</v>
      </c>
      <c r="Q118" s="99"/>
      <c r="R118" s="422"/>
    </row>
    <row r="119" spans="1:18" x14ac:dyDescent="0.2">
      <c r="A119" s="430"/>
      <c r="B119" s="433"/>
      <c r="C119" s="43">
        <v>2021</v>
      </c>
      <c r="D119" s="98"/>
      <c r="E119" s="98"/>
      <c r="F119" s="98"/>
      <c r="G119" s="60"/>
      <c r="H119" s="46">
        <f>SUM(J119:L119)</f>
        <v>6608.23</v>
      </c>
      <c r="I119" s="60"/>
      <c r="J119" s="40"/>
      <c r="K119" s="40">
        <v>6608.23</v>
      </c>
      <c r="L119" s="40"/>
      <c r="M119" s="49">
        <f t="shared" si="31"/>
        <v>6608.23</v>
      </c>
      <c r="N119" s="99"/>
      <c r="O119" s="99"/>
      <c r="P119" s="99"/>
      <c r="Q119" s="99" t="s">
        <v>52</v>
      </c>
      <c r="R119" s="422"/>
    </row>
    <row r="120" spans="1:18" x14ac:dyDescent="0.2">
      <c r="A120" s="430"/>
      <c r="B120" s="433"/>
      <c r="C120" s="43">
        <v>2022</v>
      </c>
      <c r="D120" s="98"/>
      <c r="E120" s="98"/>
      <c r="F120" s="98"/>
      <c r="G120" s="60"/>
      <c r="H120" s="46">
        <f>SUM(J120:L120)</f>
        <v>0</v>
      </c>
      <c r="I120" s="60"/>
      <c r="J120" s="40"/>
      <c r="K120" s="40"/>
      <c r="L120" s="40"/>
      <c r="M120" s="49">
        <f t="shared" si="31"/>
        <v>0</v>
      </c>
      <c r="N120" s="99"/>
      <c r="O120" s="99"/>
      <c r="P120" s="99"/>
      <c r="Q120" s="99"/>
      <c r="R120" s="422"/>
    </row>
    <row r="121" spans="1:18" x14ac:dyDescent="0.2">
      <c r="A121" s="430"/>
      <c r="B121" s="433"/>
      <c r="C121" s="43">
        <v>2023</v>
      </c>
      <c r="D121" s="98"/>
      <c r="E121" s="98"/>
      <c r="F121" s="98"/>
      <c r="G121" s="60"/>
      <c r="H121" s="46">
        <f>SUM(J121:L121)</f>
        <v>0</v>
      </c>
      <c r="I121" s="60"/>
      <c r="J121" s="40"/>
      <c r="K121" s="40"/>
      <c r="L121" s="40"/>
      <c r="M121" s="49">
        <f t="shared" si="31"/>
        <v>0</v>
      </c>
      <c r="N121" s="99"/>
      <c r="O121" s="99"/>
      <c r="P121" s="99"/>
      <c r="Q121" s="99"/>
      <c r="R121" s="422"/>
    </row>
    <row r="122" spans="1:18" x14ac:dyDescent="0.2">
      <c r="A122" s="431"/>
      <c r="B122" s="434"/>
      <c r="C122" s="43" t="s">
        <v>26</v>
      </c>
      <c r="D122" s="98">
        <f>SUM(D117:D121)</f>
        <v>168</v>
      </c>
      <c r="E122" s="98">
        <f t="shared" ref="E122:L122" si="33">SUM(E117:E121)</f>
        <v>213.12</v>
      </c>
      <c r="F122" s="98">
        <f t="shared" si="33"/>
        <v>0.56000000000000005</v>
      </c>
      <c r="G122" s="98">
        <f t="shared" si="33"/>
        <v>4.4000000000000004</v>
      </c>
      <c r="H122" s="98">
        <f t="shared" si="33"/>
        <v>10008.23</v>
      </c>
      <c r="I122" s="159">
        <f>SUM(I117:I121)</f>
        <v>0</v>
      </c>
      <c r="J122" s="98">
        <f t="shared" si="33"/>
        <v>3400</v>
      </c>
      <c r="K122" s="159">
        <f>SUM(K117:K121)</f>
        <v>6608.23</v>
      </c>
      <c r="L122" s="98">
        <f t="shared" si="33"/>
        <v>0</v>
      </c>
      <c r="M122" s="49">
        <f t="shared" si="31"/>
        <v>10008.23</v>
      </c>
      <c r="N122" s="99"/>
      <c r="O122" s="99"/>
      <c r="P122" s="99"/>
      <c r="Q122" s="99"/>
      <c r="R122" s="422"/>
    </row>
    <row r="123" spans="1:18" x14ac:dyDescent="0.2">
      <c r="A123" s="429">
        <v>15</v>
      </c>
      <c r="B123" s="432" t="s">
        <v>69</v>
      </c>
      <c r="C123" s="43">
        <v>2019</v>
      </c>
      <c r="D123" s="98"/>
      <c r="E123" s="98"/>
      <c r="F123" s="98"/>
      <c r="G123" s="60"/>
      <c r="H123" s="46">
        <f>SUM(J123:L123)</f>
        <v>0</v>
      </c>
      <c r="I123" s="60"/>
      <c r="J123" s="40"/>
      <c r="K123" s="40"/>
      <c r="L123" s="40"/>
      <c r="M123" s="49">
        <f t="shared" si="31"/>
        <v>0</v>
      </c>
      <c r="N123" s="99"/>
      <c r="O123" s="99"/>
      <c r="P123" s="99"/>
      <c r="Q123" s="99"/>
      <c r="R123" s="422"/>
    </row>
    <row r="124" spans="1:18" x14ac:dyDescent="0.2">
      <c r="A124" s="430"/>
      <c r="B124" s="433"/>
      <c r="C124" s="43" t="s">
        <v>24</v>
      </c>
      <c r="D124" s="98"/>
      <c r="E124" s="98"/>
      <c r="F124" s="98"/>
      <c r="G124" s="60"/>
      <c r="H124" s="46">
        <f>SUM(J124:L124)</f>
        <v>0</v>
      </c>
      <c r="I124" s="60"/>
      <c r="J124" s="40"/>
      <c r="K124" s="40"/>
      <c r="L124" s="40"/>
      <c r="M124" s="49">
        <f t="shared" si="31"/>
        <v>0</v>
      </c>
      <c r="N124" s="99"/>
      <c r="O124" s="99"/>
      <c r="P124" s="99"/>
      <c r="Q124" s="99"/>
      <c r="R124" s="422"/>
    </row>
    <row r="125" spans="1:18" x14ac:dyDescent="0.2">
      <c r="A125" s="430"/>
      <c r="B125" s="433"/>
      <c r="C125" s="43">
        <v>2021</v>
      </c>
      <c r="D125" s="98"/>
      <c r="E125" s="98"/>
      <c r="F125" s="98"/>
      <c r="G125" s="60"/>
      <c r="H125" s="46">
        <f>SUM(J125:L125)</f>
        <v>0</v>
      </c>
      <c r="I125" s="60"/>
      <c r="J125" s="40"/>
      <c r="K125" s="40"/>
      <c r="L125" s="40"/>
      <c r="M125" s="49">
        <f t="shared" si="31"/>
        <v>0</v>
      </c>
      <c r="N125" s="99"/>
      <c r="O125" s="99"/>
      <c r="P125" s="99"/>
      <c r="Q125" s="99"/>
      <c r="R125" s="422"/>
    </row>
    <row r="126" spans="1:18" x14ac:dyDescent="0.2">
      <c r="A126" s="430"/>
      <c r="B126" s="433"/>
      <c r="C126" s="43">
        <v>2022</v>
      </c>
      <c r="D126" s="98">
        <v>28</v>
      </c>
      <c r="E126" s="98">
        <v>39.261000000000003</v>
      </c>
      <c r="F126" s="98">
        <v>9.1899999999999996E-2</v>
      </c>
      <c r="G126" s="60">
        <v>2</v>
      </c>
      <c r="H126" s="46">
        <f>SUM(J126:L126)</f>
        <v>3000</v>
      </c>
      <c r="I126" s="60"/>
      <c r="J126" s="40">
        <v>3000</v>
      </c>
      <c r="K126" s="40"/>
      <c r="L126" s="40"/>
      <c r="M126" s="49">
        <f t="shared" si="31"/>
        <v>3000</v>
      </c>
      <c r="N126" s="99" t="s">
        <v>71</v>
      </c>
      <c r="O126" s="99" t="s">
        <v>31</v>
      </c>
      <c r="P126" s="99"/>
      <c r="Q126" s="99"/>
      <c r="R126" s="422"/>
    </row>
    <row r="127" spans="1:18" x14ac:dyDescent="0.2">
      <c r="A127" s="430"/>
      <c r="B127" s="433"/>
      <c r="C127" s="43">
        <v>2023</v>
      </c>
      <c r="D127" s="98"/>
      <c r="E127" s="98"/>
      <c r="F127" s="98"/>
      <c r="G127" s="60"/>
      <c r="H127" s="46">
        <f>SUM(J127:L127)</f>
        <v>5000</v>
      </c>
      <c r="I127" s="60"/>
      <c r="J127" s="40"/>
      <c r="K127" s="40">
        <v>5000</v>
      </c>
      <c r="L127" s="40"/>
      <c r="M127" s="49">
        <f t="shared" si="31"/>
        <v>5000</v>
      </c>
      <c r="N127" s="99"/>
      <c r="O127" s="99"/>
      <c r="P127" s="99" t="s">
        <v>28</v>
      </c>
      <c r="Q127" s="99" t="s">
        <v>54</v>
      </c>
      <c r="R127" s="422"/>
    </row>
    <row r="128" spans="1:18" x14ac:dyDescent="0.2">
      <c r="A128" s="431"/>
      <c r="B128" s="434"/>
      <c r="C128" s="43" t="s">
        <v>26</v>
      </c>
      <c r="D128" s="98">
        <f t="shared" ref="D128:L128" si="34">SUM(D123:D127)</f>
        <v>28</v>
      </c>
      <c r="E128" s="98">
        <f t="shared" si="34"/>
        <v>39.261000000000003</v>
      </c>
      <c r="F128" s="98">
        <f t="shared" si="34"/>
        <v>9.1899999999999996E-2</v>
      </c>
      <c r="G128" s="60">
        <f t="shared" si="34"/>
        <v>2</v>
      </c>
      <c r="H128" s="60">
        <f t="shared" si="34"/>
        <v>8000</v>
      </c>
      <c r="I128" s="60">
        <f t="shared" si="34"/>
        <v>0</v>
      </c>
      <c r="J128" s="40">
        <f t="shared" si="34"/>
        <v>3000</v>
      </c>
      <c r="K128" s="40">
        <f t="shared" si="34"/>
        <v>5000</v>
      </c>
      <c r="L128" s="40">
        <f t="shared" si="34"/>
        <v>0</v>
      </c>
      <c r="M128" s="40">
        <f t="shared" si="31"/>
        <v>8000</v>
      </c>
      <c r="N128" s="99"/>
      <c r="O128" s="99"/>
      <c r="P128" s="99"/>
      <c r="Q128" s="99"/>
      <c r="R128" s="422"/>
    </row>
    <row r="129" spans="1:18" x14ac:dyDescent="0.2">
      <c r="A129" s="429">
        <v>16</v>
      </c>
      <c r="B129" s="432" t="s">
        <v>78</v>
      </c>
      <c r="C129" s="43">
        <v>2019</v>
      </c>
      <c r="D129" s="98"/>
      <c r="E129" s="98"/>
      <c r="F129" s="98"/>
      <c r="G129" s="60"/>
      <c r="H129" s="46">
        <f>SUM(J129:L129)</f>
        <v>0</v>
      </c>
      <c r="I129" s="60"/>
      <c r="J129" s="40"/>
      <c r="K129" s="40"/>
      <c r="L129" s="40"/>
      <c r="M129" s="49">
        <f t="shared" si="31"/>
        <v>0</v>
      </c>
      <c r="N129" s="99"/>
      <c r="O129" s="99"/>
      <c r="P129" s="99"/>
      <c r="Q129" s="99"/>
      <c r="R129" s="422"/>
    </row>
    <row r="130" spans="1:18" x14ac:dyDescent="0.2">
      <c r="A130" s="430"/>
      <c r="B130" s="433"/>
      <c r="C130" s="43" t="s">
        <v>24</v>
      </c>
      <c r="D130" s="98"/>
      <c r="E130" s="98"/>
      <c r="F130" s="98"/>
      <c r="G130" s="60"/>
      <c r="H130" s="46">
        <f>SUM(J130:L130)</f>
        <v>0</v>
      </c>
      <c r="I130" s="60"/>
      <c r="J130" s="40"/>
      <c r="K130" s="40"/>
      <c r="L130" s="40"/>
      <c r="M130" s="49">
        <f t="shared" si="31"/>
        <v>0</v>
      </c>
      <c r="N130" s="99"/>
      <c r="O130" s="99"/>
      <c r="P130" s="99"/>
      <c r="Q130" s="99"/>
      <c r="R130" s="422"/>
    </row>
    <row r="131" spans="1:18" x14ac:dyDescent="0.2">
      <c r="A131" s="430"/>
      <c r="B131" s="433"/>
      <c r="C131" s="43">
        <v>2021</v>
      </c>
      <c r="D131" s="98"/>
      <c r="E131" s="98"/>
      <c r="F131" s="98"/>
      <c r="G131" s="60"/>
      <c r="H131" s="46">
        <f>SUM(J131:L131)</f>
        <v>0</v>
      </c>
      <c r="I131" s="60"/>
      <c r="J131" s="40"/>
      <c r="K131" s="40"/>
      <c r="L131" s="40"/>
      <c r="M131" s="49">
        <f t="shared" si="31"/>
        <v>0</v>
      </c>
      <c r="N131" s="99"/>
      <c r="O131" s="99"/>
      <c r="P131" s="99"/>
      <c r="Q131" s="99"/>
      <c r="R131" s="422"/>
    </row>
    <row r="132" spans="1:18" x14ac:dyDescent="0.2">
      <c r="A132" s="430"/>
      <c r="B132" s="433"/>
      <c r="C132" s="43">
        <v>2022</v>
      </c>
      <c r="D132" s="98">
        <v>88</v>
      </c>
      <c r="E132" s="98">
        <v>123.4</v>
      </c>
      <c r="F132" s="98">
        <v>0.28699999999999998</v>
      </c>
      <c r="G132" s="60">
        <v>3.5</v>
      </c>
      <c r="H132" s="46">
        <f>SUM(J132:L132)</f>
        <v>11282.33</v>
      </c>
      <c r="I132" s="60"/>
      <c r="J132" s="40">
        <v>7282.33</v>
      </c>
      <c r="K132" s="40">
        <v>4000</v>
      </c>
      <c r="L132" s="40"/>
      <c r="M132" s="49">
        <f t="shared" si="31"/>
        <v>11282.33</v>
      </c>
      <c r="N132" s="99" t="s">
        <v>28</v>
      </c>
      <c r="O132" s="99" t="s">
        <v>57</v>
      </c>
      <c r="P132" s="99" t="s">
        <v>55</v>
      </c>
      <c r="Q132" s="99"/>
      <c r="R132" s="422"/>
    </row>
    <row r="133" spans="1:18" x14ac:dyDescent="0.2">
      <c r="A133" s="430"/>
      <c r="B133" s="433"/>
      <c r="C133" s="43">
        <v>2023</v>
      </c>
      <c r="D133" s="98"/>
      <c r="E133" s="98"/>
      <c r="F133" s="98"/>
      <c r="G133" s="60"/>
      <c r="H133" s="46">
        <f>SUM(J133:L133)</f>
        <v>10105.51</v>
      </c>
      <c r="I133" s="60"/>
      <c r="J133" s="40"/>
      <c r="K133" s="40">
        <v>10105.51</v>
      </c>
      <c r="L133" s="40"/>
      <c r="M133" s="49">
        <f t="shared" si="31"/>
        <v>10105.51</v>
      </c>
      <c r="N133" s="99"/>
      <c r="O133" s="99"/>
      <c r="P133" s="99"/>
      <c r="Q133" s="99" t="s">
        <v>47</v>
      </c>
      <c r="R133" s="422"/>
    </row>
    <row r="134" spans="1:18" x14ac:dyDescent="0.2">
      <c r="A134" s="431"/>
      <c r="B134" s="434"/>
      <c r="C134" s="43" t="s">
        <v>26</v>
      </c>
      <c r="D134" s="98">
        <f t="shared" ref="D134:L134" si="35">SUM(D129:D133)</f>
        <v>88</v>
      </c>
      <c r="E134" s="98">
        <f t="shared" si="35"/>
        <v>123.4</v>
      </c>
      <c r="F134" s="98">
        <f t="shared" si="35"/>
        <v>0.28699999999999998</v>
      </c>
      <c r="G134" s="60">
        <f t="shared" si="35"/>
        <v>3.5</v>
      </c>
      <c r="H134" s="60">
        <f t="shared" si="35"/>
        <v>21387.84</v>
      </c>
      <c r="I134" s="60">
        <f t="shared" si="35"/>
        <v>0</v>
      </c>
      <c r="J134" s="40">
        <f t="shared" si="35"/>
        <v>7282.33</v>
      </c>
      <c r="K134" s="40">
        <f t="shared" si="35"/>
        <v>14105.51</v>
      </c>
      <c r="L134" s="40">
        <f t="shared" si="35"/>
        <v>0</v>
      </c>
      <c r="M134" s="40">
        <f t="shared" si="31"/>
        <v>21387.84</v>
      </c>
      <c r="N134" s="99"/>
      <c r="O134" s="99"/>
      <c r="P134" s="99"/>
      <c r="Q134" s="99"/>
      <c r="R134" s="422"/>
    </row>
    <row r="135" spans="1:18" x14ac:dyDescent="0.2">
      <c r="A135" s="417">
        <v>17</v>
      </c>
      <c r="B135" s="418" t="s">
        <v>63</v>
      </c>
      <c r="C135" s="43">
        <v>2019</v>
      </c>
      <c r="D135" s="98">
        <v>1031</v>
      </c>
      <c r="E135" s="98">
        <v>1397.54</v>
      </c>
      <c r="F135" s="98">
        <v>3.87</v>
      </c>
      <c r="G135" s="98">
        <v>19.7</v>
      </c>
      <c r="H135" s="46">
        <f>I135+J135+K135+L135</f>
        <v>4443.3100000000004</v>
      </c>
      <c r="I135" s="162"/>
      <c r="J135" s="161">
        <v>4443.3100000000004</v>
      </c>
      <c r="K135" s="161"/>
      <c r="L135" s="161"/>
      <c r="M135" s="49">
        <f t="shared" si="31"/>
        <v>4443.3100000000004</v>
      </c>
      <c r="N135" s="99" t="s">
        <v>49</v>
      </c>
      <c r="O135" s="99"/>
      <c r="P135" s="99"/>
      <c r="Q135" s="99"/>
      <c r="R135" s="422"/>
    </row>
    <row r="136" spans="1:18" x14ac:dyDescent="0.2">
      <c r="A136" s="417"/>
      <c r="B136" s="418"/>
      <c r="C136" s="43" t="s">
        <v>24</v>
      </c>
      <c r="D136" s="98"/>
      <c r="E136" s="57"/>
      <c r="F136" s="98"/>
      <c r="G136" s="98"/>
      <c r="H136" s="46">
        <f>I136+J136+K136+L136</f>
        <v>36919.379999999997</v>
      </c>
      <c r="I136" s="162"/>
      <c r="J136" s="161">
        <v>2000</v>
      </c>
      <c r="K136" s="161">
        <v>34919.379999999997</v>
      </c>
      <c r="L136" s="161"/>
      <c r="M136" s="49">
        <f t="shared" si="31"/>
        <v>36919.379999999997</v>
      </c>
      <c r="N136" s="99"/>
      <c r="O136" s="99" t="s">
        <v>54</v>
      </c>
      <c r="P136" s="99" t="s">
        <v>49</v>
      </c>
      <c r="Q136" s="99"/>
      <c r="R136" s="422"/>
    </row>
    <row r="137" spans="1:18" x14ac:dyDescent="0.2">
      <c r="A137" s="417"/>
      <c r="B137" s="418"/>
      <c r="C137" s="43">
        <v>2021</v>
      </c>
      <c r="D137" s="98"/>
      <c r="E137" s="57"/>
      <c r="F137" s="98"/>
      <c r="G137" s="98"/>
      <c r="H137" s="46">
        <f>I137+J137+K137+L137</f>
        <v>3000</v>
      </c>
      <c r="I137" s="162"/>
      <c r="J137" s="161"/>
      <c r="K137" s="161">
        <v>3000</v>
      </c>
      <c r="L137" s="161"/>
      <c r="M137" s="49">
        <f t="shared" si="31"/>
        <v>3000</v>
      </c>
      <c r="N137" s="99"/>
      <c r="O137" s="99"/>
      <c r="P137" s="56"/>
      <c r="Q137" s="99" t="s">
        <v>54</v>
      </c>
      <c r="R137" s="422"/>
    </row>
    <row r="138" spans="1:18" x14ac:dyDescent="0.2">
      <c r="A138" s="417"/>
      <c r="B138" s="418"/>
      <c r="C138" s="43">
        <v>2022</v>
      </c>
      <c r="D138" s="98"/>
      <c r="E138" s="57"/>
      <c r="F138" s="98"/>
      <c r="G138" s="98"/>
      <c r="H138" s="46">
        <f>I138+J138+K138+L138</f>
        <v>0</v>
      </c>
      <c r="I138" s="162"/>
      <c r="J138" s="161"/>
      <c r="K138" s="161"/>
      <c r="L138" s="161"/>
      <c r="M138" s="49">
        <f t="shared" si="31"/>
        <v>0</v>
      </c>
      <c r="N138" s="99"/>
      <c r="O138" s="99"/>
      <c r="P138" s="99"/>
      <c r="Q138" s="99"/>
      <c r="R138" s="422"/>
    </row>
    <row r="139" spans="1:18" x14ac:dyDescent="0.2">
      <c r="A139" s="417"/>
      <c r="B139" s="418"/>
      <c r="C139" s="43">
        <v>2023</v>
      </c>
      <c r="D139" s="98"/>
      <c r="E139" s="98"/>
      <c r="F139" s="98"/>
      <c r="G139" s="98"/>
      <c r="H139" s="46">
        <f>I139+J139+K139+L139</f>
        <v>0</v>
      </c>
      <c r="I139" s="162"/>
      <c r="J139" s="161"/>
      <c r="K139" s="161"/>
      <c r="L139" s="161"/>
      <c r="M139" s="49">
        <f t="shared" si="31"/>
        <v>0</v>
      </c>
      <c r="N139" s="99"/>
      <c r="O139" s="99"/>
      <c r="P139" s="99"/>
      <c r="Q139" s="99"/>
      <c r="R139" s="422"/>
    </row>
    <row r="140" spans="1:18" x14ac:dyDescent="0.2">
      <c r="A140" s="417"/>
      <c r="B140" s="418"/>
      <c r="C140" s="43" t="s">
        <v>26</v>
      </c>
      <c r="D140" s="60">
        <f t="shared" ref="D140:L140" si="36">SUM(D135:D139)</f>
        <v>1031</v>
      </c>
      <c r="E140" s="60">
        <f t="shared" si="36"/>
        <v>1397.54</v>
      </c>
      <c r="F140" s="60">
        <f t="shared" si="36"/>
        <v>3.87</v>
      </c>
      <c r="G140" s="60">
        <f t="shared" si="36"/>
        <v>19.7</v>
      </c>
      <c r="H140" s="62">
        <f t="shared" si="36"/>
        <v>44362.689999999995</v>
      </c>
      <c r="I140" s="62">
        <f t="shared" si="36"/>
        <v>0</v>
      </c>
      <c r="J140" s="40">
        <f t="shared" si="36"/>
        <v>6443.31</v>
      </c>
      <c r="K140" s="40">
        <f t="shared" si="36"/>
        <v>37919.379999999997</v>
      </c>
      <c r="L140" s="40">
        <f t="shared" si="36"/>
        <v>0</v>
      </c>
      <c r="M140" s="40">
        <f t="shared" si="31"/>
        <v>44362.689999999995</v>
      </c>
      <c r="N140" s="99"/>
      <c r="O140" s="99"/>
      <c r="P140" s="99"/>
      <c r="Q140" s="99"/>
      <c r="R140" s="422"/>
    </row>
    <row r="141" spans="1:18" x14ac:dyDescent="0.2">
      <c r="A141" s="417">
        <v>18</v>
      </c>
      <c r="B141" s="418" t="s">
        <v>64</v>
      </c>
      <c r="C141" s="43">
        <v>2019</v>
      </c>
      <c r="D141" s="154"/>
      <c r="E141" s="154"/>
      <c r="F141" s="98"/>
      <c r="G141" s="98"/>
      <c r="H141" s="46">
        <f>I141+J141+K141+L141</f>
        <v>0</v>
      </c>
      <c r="I141" s="162"/>
      <c r="J141" s="161"/>
      <c r="K141" s="161"/>
      <c r="L141" s="161"/>
      <c r="M141" s="49">
        <f t="shared" si="31"/>
        <v>0</v>
      </c>
      <c r="N141" s="99"/>
      <c r="O141" s="99"/>
      <c r="P141" s="99"/>
      <c r="Q141" s="99"/>
      <c r="R141" s="422"/>
    </row>
    <row r="142" spans="1:18" x14ac:dyDescent="0.2">
      <c r="A142" s="417"/>
      <c r="B142" s="418"/>
      <c r="C142" s="43" t="s">
        <v>24</v>
      </c>
      <c r="D142" s="98">
        <v>512</v>
      </c>
      <c r="E142" s="98">
        <v>717.96100000000001</v>
      </c>
      <c r="F142" s="98">
        <v>1.6830000000000001</v>
      </c>
      <c r="G142" s="98">
        <v>8</v>
      </c>
      <c r="H142" s="46">
        <f>I142+J142+K142+L142</f>
        <v>1800</v>
      </c>
      <c r="I142" s="162"/>
      <c r="J142" s="161">
        <v>1800</v>
      </c>
      <c r="K142" s="161"/>
      <c r="L142" s="161"/>
      <c r="M142" s="49">
        <f t="shared" si="31"/>
        <v>1800</v>
      </c>
      <c r="N142" s="99" t="s">
        <v>49</v>
      </c>
      <c r="O142" s="99"/>
      <c r="P142" s="99"/>
      <c r="Q142" s="99"/>
      <c r="R142" s="422"/>
    </row>
    <row r="143" spans="1:18" x14ac:dyDescent="0.2">
      <c r="A143" s="417"/>
      <c r="B143" s="418"/>
      <c r="C143" s="43">
        <v>2021</v>
      </c>
      <c r="D143" s="98"/>
      <c r="E143" s="98"/>
      <c r="F143" s="98"/>
      <c r="G143" s="98"/>
      <c r="H143" s="46">
        <f>I143+J143+K143+L143</f>
        <v>25074.27</v>
      </c>
      <c r="I143" s="162"/>
      <c r="J143" s="161">
        <f>5000+1074.27</f>
        <v>6074.27</v>
      </c>
      <c r="K143" s="161">
        <f>19000</f>
        <v>19000</v>
      </c>
      <c r="L143" s="161"/>
      <c r="M143" s="49">
        <f t="shared" si="31"/>
        <v>25074.27</v>
      </c>
      <c r="N143" s="99"/>
      <c r="O143" s="99" t="s">
        <v>48</v>
      </c>
      <c r="P143" s="99" t="s">
        <v>54</v>
      </c>
      <c r="Q143" s="99"/>
      <c r="R143" s="422"/>
    </row>
    <row r="144" spans="1:18" x14ac:dyDescent="0.2">
      <c r="A144" s="417"/>
      <c r="B144" s="418"/>
      <c r="C144" s="43">
        <v>2022</v>
      </c>
      <c r="D144" s="98"/>
      <c r="E144" s="98"/>
      <c r="F144" s="98"/>
      <c r="G144" s="98"/>
      <c r="H144" s="46">
        <f>I144+J144+K144+L144</f>
        <v>2500</v>
      </c>
      <c r="I144" s="162"/>
      <c r="J144" s="161"/>
      <c r="K144" s="161">
        <v>2500</v>
      </c>
      <c r="L144" s="161"/>
      <c r="M144" s="49">
        <f t="shared" si="31"/>
        <v>2500</v>
      </c>
      <c r="N144" s="99"/>
      <c r="O144" s="99"/>
      <c r="P144" s="99"/>
      <c r="Q144" s="99" t="s">
        <v>47</v>
      </c>
      <c r="R144" s="422"/>
    </row>
    <row r="145" spans="1:18" x14ac:dyDescent="0.2">
      <c r="A145" s="417"/>
      <c r="B145" s="418"/>
      <c r="C145" s="43">
        <v>2023</v>
      </c>
      <c r="D145" s="98"/>
      <c r="E145" s="98"/>
      <c r="F145" s="98"/>
      <c r="G145" s="98"/>
      <c r="H145" s="46">
        <f>I145+J145+K145+L145</f>
        <v>0</v>
      </c>
      <c r="I145" s="162"/>
      <c r="J145" s="161"/>
      <c r="K145" s="161"/>
      <c r="L145" s="161"/>
      <c r="M145" s="49">
        <f t="shared" si="31"/>
        <v>0</v>
      </c>
      <c r="N145" s="99"/>
      <c r="O145" s="99"/>
      <c r="P145" s="99"/>
      <c r="Q145" s="99"/>
      <c r="R145" s="422"/>
    </row>
    <row r="146" spans="1:18" x14ac:dyDescent="0.2">
      <c r="A146" s="417"/>
      <c r="B146" s="418"/>
      <c r="C146" s="43" t="s">
        <v>26</v>
      </c>
      <c r="D146" s="60">
        <f>SUM(D141:D145)</f>
        <v>512</v>
      </c>
      <c r="E146" s="60">
        <f t="shared" ref="E146:L146" si="37">SUM(E141:E145)</f>
        <v>717.96100000000001</v>
      </c>
      <c r="F146" s="60">
        <f t="shared" si="37"/>
        <v>1.6830000000000001</v>
      </c>
      <c r="G146" s="60">
        <f t="shared" si="37"/>
        <v>8</v>
      </c>
      <c r="H146" s="60">
        <f t="shared" si="37"/>
        <v>29374.27</v>
      </c>
      <c r="I146" s="60">
        <f t="shared" si="37"/>
        <v>0</v>
      </c>
      <c r="J146" s="40">
        <f>SUM(J141:J145)</f>
        <v>7874.27</v>
      </c>
      <c r="K146" s="40">
        <f>SUM(K141:K145)</f>
        <v>21500</v>
      </c>
      <c r="L146" s="40">
        <f t="shared" si="37"/>
        <v>0</v>
      </c>
      <c r="M146" s="40">
        <f t="shared" si="31"/>
        <v>29374.27</v>
      </c>
      <c r="N146" s="99"/>
      <c r="O146" s="99"/>
      <c r="P146" s="99"/>
      <c r="Q146" s="99"/>
      <c r="R146" s="422"/>
    </row>
    <row r="147" spans="1:18" x14ac:dyDescent="0.2">
      <c r="A147" s="426" t="s">
        <v>29</v>
      </c>
      <c r="B147" s="426"/>
      <c r="C147" s="43">
        <v>2019</v>
      </c>
      <c r="D147" s="60">
        <f>D111+D123+D129+D135+D141+D117</f>
        <v>1511</v>
      </c>
      <c r="E147" s="60">
        <f t="shared" ref="E147:M151" si="38">E111+E123+E129+E135+E141+E117</f>
        <v>2157.61</v>
      </c>
      <c r="F147" s="60">
        <f t="shared" si="38"/>
        <v>5.45</v>
      </c>
      <c r="G147" s="60">
        <f t="shared" si="38"/>
        <v>21.599999999999998</v>
      </c>
      <c r="H147" s="60">
        <f t="shared" si="38"/>
        <v>14897.900000000001</v>
      </c>
      <c r="I147" s="60">
        <f t="shared" si="38"/>
        <v>2049.3000000000002</v>
      </c>
      <c r="J147" s="60">
        <f t="shared" si="38"/>
        <v>4443.3100000000004</v>
      </c>
      <c r="K147" s="60">
        <f t="shared" si="38"/>
        <v>8405.2900000000009</v>
      </c>
      <c r="L147" s="60">
        <f t="shared" si="38"/>
        <v>0</v>
      </c>
      <c r="M147" s="60">
        <f t="shared" si="38"/>
        <v>12848.600000000002</v>
      </c>
      <c r="N147" s="157"/>
      <c r="O147" s="99"/>
      <c r="P147" s="99"/>
      <c r="Q147" s="99"/>
      <c r="R147" s="422"/>
    </row>
    <row r="148" spans="1:18" x14ac:dyDescent="0.2">
      <c r="A148" s="426"/>
      <c r="B148" s="426"/>
      <c r="C148" s="43" t="s">
        <v>24</v>
      </c>
      <c r="D148" s="60">
        <f>D112+D124+D130+D136+D142+D118</f>
        <v>680</v>
      </c>
      <c r="E148" s="60">
        <f t="shared" si="38"/>
        <v>931.08100000000002</v>
      </c>
      <c r="F148" s="60">
        <f t="shared" si="38"/>
        <v>2.2430000000000003</v>
      </c>
      <c r="G148" s="60">
        <f t="shared" si="38"/>
        <v>12.4</v>
      </c>
      <c r="H148" s="60">
        <f t="shared" si="38"/>
        <v>42119.38</v>
      </c>
      <c r="I148" s="60">
        <f t="shared" si="38"/>
        <v>0</v>
      </c>
      <c r="J148" s="60">
        <f t="shared" si="38"/>
        <v>7200</v>
      </c>
      <c r="K148" s="60">
        <f t="shared" si="38"/>
        <v>34919.379999999997</v>
      </c>
      <c r="L148" s="60">
        <f t="shared" si="38"/>
        <v>0</v>
      </c>
      <c r="M148" s="60">
        <f t="shared" si="38"/>
        <v>42119.38</v>
      </c>
      <c r="N148" s="157"/>
      <c r="O148" s="99"/>
      <c r="P148" s="99"/>
      <c r="Q148" s="99"/>
      <c r="R148" s="422"/>
    </row>
    <row r="149" spans="1:18" x14ac:dyDescent="0.2">
      <c r="A149" s="426"/>
      <c r="B149" s="426"/>
      <c r="C149" s="43">
        <v>2021</v>
      </c>
      <c r="D149" s="60">
        <f>D113+D125+D131+D137+D143+D119</f>
        <v>0</v>
      </c>
      <c r="E149" s="60">
        <f t="shared" si="38"/>
        <v>0</v>
      </c>
      <c r="F149" s="60">
        <f t="shared" si="38"/>
        <v>0</v>
      </c>
      <c r="G149" s="60">
        <f t="shared" si="38"/>
        <v>0</v>
      </c>
      <c r="H149" s="60">
        <f t="shared" si="38"/>
        <v>34682.5</v>
      </c>
      <c r="I149" s="60">
        <f t="shared" si="38"/>
        <v>0</v>
      </c>
      <c r="J149" s="60">
        <f t="shared" si="38"/>
        <v>6074.27</v>
      </c>
      <c r="K149" s="60">
        <f t="shared" si="38"/>
        <v>28608.23</v>
      </c>
      <c r="L149" s="60">
        <f t="shared" si="38"/>
        <v>0</v>
      </c>
      <c r="M149" s="60">
        <f t="shared" si="38"/>
        <v>34682.5</v>
      </c>
      <c r="N149" s="157"/>
      <c r="O149" s="99"/>
      <c r="P149" s="99"/>
      <c r="Q149" s="99"/>
      <c r="R149" s="422"/>
    </row>
    <row r="150" spans="1:18" x14ac:dyDescent="0.2">
      <c r="A150" s="426"/>
      <c r="B150" s="426"/>
      <c r="C150" s="43">
        <v>2022</v>
      </c>
      <c r="D150" s="60">
        <f>D114+D126+D132+D138+D144+D120</f>
        <v>116</v>
      </c>
      <c r="E150" s="60">
        <f t="shared" si="38"/>
        <v>162.661</v>
      </c>
      <c r="F150" s="60">
        <f t="shared" si="38"/>
        <v>0.37889999999999996</v>
      </c>
      <c r="G150" s="60">
        <f t="shared" si="38"/>
        <v>5.5</v>
      </c>
      <c r="H150" s="60">
        <f t="shared" si="38"/>
        <v>16782.330000000002</v>
      </c>
      <c r="I150" s="60">
        <f t="shared" si="38"/>
        <v>0</v>
      </c>
      <c r="J150" s="60">
        <f t="shared" si="38"/>
        <v>10282.33</v>
      </c>
      <c r="K150" s="60">
        <f t="shared" si="38"/>
        <v>6500</v>
      </c>
      <c r="L150" s="60">
        <f t="shared" si="38"/>
        <v>0</v>
      </c>
      <c r="M150" s="60">
        <f t="shared" si="38"/>
        <v>16782.330000000002</v>
      </c>
      <c r="N150" s="157"/>
      <c r="O150" s="99"/>
      <c r="P150" s="99"/>
      <c r="Q150" s="99"/>
      <c r="R150" s="422"/>
    </row>
    <row r="151" spans="1:18" x14ac:dyDescent="0.2">
      <c r="A151" s="426"/>
      <c r="B151" s="426"/>
      <c r="C151" s="43">
        <v>2023</v>
      </c>
      <c r="D151" s="60">
        <f>D115+D127+D133+D139+D145+D121</f>
        <v>0</v>
      </c>
      <c r="E151" s="60">
        <f t="shared" si="38"/>
        <v>0</v>
      </c>
      <c r="F151" s="60">
        <f t="shared" si="38"/>
        <v>0</v>
      </c>
      <c r="G151" s="60">
        <f t="shared" si="38"/>
        <v>0</v>
      </c>
      <c r="H151" s="60">
        <f t="shared" si="38"/>
        <v>15105.51</v>
      </c>
      <c r="I151" s="60">
        <f t="shared" si="38"/>
        <v>0</v>
      </c>
      <c r="J151" s="60">
        <f t="shared" si="38"/>
        <v>0</v>
      </c>
      <c r="K151" s="60">
        <f t="shared" si="38"/>
        <v>15105.51</v>
      </c>
      <c r="L151" s="60">
        <f t="shared" si="38"/>
        <v>0</v>
      </c>
      <c r="M151" s="60">
        <f t="shared" si="38"/>
        <v>15105.51</v>
      </c>
      <c r="N151" s="157"/>
      <c r="O151" s="99"/>
      <c r="P151" s="99"/>
      <c r="Q151" s="99"/>
      <c r="R151" s="422"/>
    </row>
    <row r="152" spans="1:18" x14ac:dyDescent="0.2">
      <c r="A152" s="426"/>
      <c r="B152" s="426"/>
      <c r="C152" s="43" t="s">
        <v>12</v>
      </c>
      <c r="D152" s="60">
        <f>SUM(D147:D151)</f>
        <v>2307</v>
      </c>
      <c r="E152" s="60">
        <f t="shared" ref="E152:M152" si="39">SUM(E147:E151)</f>
        <v>3251.3520000000003</v>
      </c>
      <c r="F152" s="60">
        <f t="shared" si="39"/>
        <v>8.0719000000000012</v>
      </c>
      <c r="G152" s="60">
        <f t="shared" si="39"/>
        <v>39.5</v>
      </c>
      <c r="H152" s="60">
        <f t="shared" si="39"/>
        <v>123587.62</v>
      </c>
      <c r="I152" s="60">
        <f t="shared" si="39"/>
        <v>2049.3000000000002</v>
      </c>
      <c r="J152" s="60">
        <f t="shared" si="39"/>
        <v>27999.910000000003</v>
      </c>
      <c r="K152" s="60">
        <f t="shared" si="39"/>
        <v>93538.409999999989</v>
      </c>
      <c r="L152" s="60">
        <f t="shared" si="39"/>
        <v>0</v>
      </c>
      <c r="M152" s="60">
        <f t="shared" si="39"/>
        <v>121538.31999999999</v>
      </c>
      <c r="N152" s="99"/>
      <c r="O152" s="99"/>
      <c r="P152" s="99"/>
      <c r="Q152" s="99"/>
      <c r="R152" s="422"/>
    </row>
    <row r="153" spans="1:18" ht="18" customHeight="1" x14ac:dyDescent="0.2">
      <c r="A153" s="427" t="s">
        <v>34</v>
      </c>
      <c r="B153" s="428"/>
      <c r="C153" s="66"/>
      <c r="D153" s="67"/>
      <c r="E153" s="98"/>
      <c r="F153" s="67"/>
      <c r="G153" s="67"/>
      <c r="H153" s="66"/>
      <c r="I153" s="66"/>
      <c r="J153" s="68"/>
      <c r="K153" s="68"/>
      <c r="L153" s="68"/>
      <c r="M153" s="68"/>
      <c r="N153" s="66"/>
      <c r="O153" s="66"/>
      <c r="P153" s="66"/>
      <c r="Q153" s="66"/>
      <c r="R153" s="422"/>
    </row>
    <row r="154" spans="1:18" ht="13.5" customHeight="1" x14ac:dyDescent="0.2">
      <c r="A154" s="417">
        <v>19</v>
      </c>
      <c r="B154" s="418" t="s">
        <v>87</v>
      </c>
      <c r="C154" s="43">
        <v>2019</v>
      </c>
      <c r="D154" s="60">
        <v>46</v>
      </c>
      <c r="E154" s="60">
        <v>123.68</v>
      </c>
      <c r="F154" s="60">
        <v>0.24</v>
      </c>
      <c r="G154" s="60">
        <v>1.74</v>
      </c>
      <c r="H154" s="62">
        <f>J154+K154+L154+I154</f>
        <v>7029.96</v>
      </c>
      <c r="I154" s="63">
        <v>0</v>
      </c>
      <c r="J154" s="40">
        <v>1303.1099999999999</v>
      </c>
      <c r="K154" s="40">
        <v>5726.85</v>
      </c>
      <c r="L154" s="40">
        <v>0</v>
      </c>
      <c r="M154" s="40">
        <f t="shared" ref="M154:M171" si="40">J154+K154+L154</f>
        <v>7029.96</v>
      </c>
      <c r="N154" s="99" t="s">
        <v>71</v>
      </c>
      <c r="O154" s="99" t="s">
        <v>51</v>
      </c>
      <c r="P154" s="99" t="s">
        <v>53</v>
      </c>
      <c r="Q154" s="99" t="s">
        <v>31</v>
      </c>
      <c r="R154" s="422"/>
    </row>
    <row r="155" spans="1:18" ht="13.5" customHeight="1" x14ac:dyDescent="0.2">
      <c r="A155" s="417"/>
      <c r="B155" s="418"/>
      <c r="C155" s="43">
        <v>2020</v>
      </c>
      <c r="D155" s="60">
        <v>0</v>
      </c>
      <c r="E155" s="60">
        <v>0</v>
      </c>
      <c r="F155" s="60">
        <v>0</v>
      </c>
      <c r="G155" s="60"/>
      <c r="H155" s="62">
        <f>J155+K155+L155+I155</f>
        <v>0</v>
      </c>
      <c r="I155" s="63">
        <v>0</v>
      </c>
      <c r="J155" s="40">
        <v>0</v>
      </c>
      <c r="K155" s="40">
        <v>0</v>
      </c>
      <c r="L155" s="40">
        <v>0</v>
      </c>
      <c r="M155" s="40">
        <f t="shared" si="40"/>
        <v>0</v>
      </c>
      <c r="N155" s="99"/>
      <c r="O155" s="99"/>
      <c r="P155" s="99"/>
      <c r="Q155" s="99"/>
      <c r="R155" s="422"/>
    </row>
    <row r="156" spans="1:18" ht="13.5" customHeight="1" x14ac:dyDescent="0.2">
      <c r="A156" s="417"/>
      <c r="B156" s="418"/>
      <c r="C156" s="43">
        <v>2021</v>
      </c>
      <c r="D156" s="60"/>
      <c r="E156" s="64"/>
      <c r="F156" s="60"/>
      <c r="G156" s="60"/>
      <c r="H156" s="62">
        <f>J156+K156+L156+I156</f>
        <v>0</v>
      </c>
      <c r="I156" s="63">
        <v>0</v>
      </c>
      <c r="J156" s="40">
        <v>0</v>
      </c>
      <c r="K156" s="40">
        <v>0</v>
      </c>
      <c r="L156" s="40">
        <v>0</v>
      </c>
      <c r="M156" s="40">
        <f t="shared" si="40"/>
        <v>0</v>
      </c>
      <c r="N156" s="99"/>
      <c r="O156" s="99"/>
      <c r="P156" s="99"/>
      <c r="Q156" s="99"/>
      <c r="R156" s="422"/>
    </row>
    <row r="157" spans="1:18" ht="13.5" customHeight="1" x14ac:dyDescent="0.2">
      <c r="A157" s="417"/>
      <c r="B157" s="418"/>
      <c r="C157" s="43">
        <v>2022</v>
      </c>
      <c r="D157" s="60"/>
      <c r="E157" s="60"/>
      <c r="F157" s="60"/>
      <c r="G157" s="60"/>
      <c r="H157" s="62">
        <f>J157+K157+L157+I157</f>
        <v>0</v>
      </c>
      <c r="I157" s="63">
        <v>0</v>
      </c>
      <c r="J157" s="40">
        <v>0</v>
      </c>
      <c r="K157" s="40">
        <v>0</v>
      </c>
      <c r="L157" s="40">
        <v>0</v>
      </c>
      <c r="M157" s="40">
        <f t="shared" si="40"/>
        <v>0</v>
      </c>
      <c r="N157" s="99"/>
      <c r="O157" s="99"/>
      <c r="P157" s="99"/>
      <c r="Q157" s="99"/>
      <c r="R157" s="422"/>
    </row>
    <row r="158" spans="1:18" ht="13.5" customHeight="1" x14ac:dyDescent="0.2">
      <c r="A158" s="417"/>
      <c r="B158" s="418"/>
      <c r="C158" s="43">
        <v>2023</v>
      </c>
      <c r="D158" s="60"/>
      <c r="E158" s="60"/>
      <c r="F158" s="60"/>
      <c r="G158" s="60"/>
      <c r="H158" s="62">
        <f>J158+K158+L158+I158</f>
        <v>0</v>
      </c>
      <c r="I158" s="63">
        <v>0</v>
      </c>
      <c r="J158" s="40">
        <v>0</v>
      </c>
      <c r="K158" s="40">
        <v>0</v>
      </c>
      <c r="L158" s="40">
        <v>0</v>
      </c>
      <c r="M158" s="40">
        <f t="shared" si="40"/>
        <v>0</v>
      </c>
      <c r="N158" s="99"/>
      <c r="O158" s="99"/>
      <c r="P158" s="99"/>
      <c r="Q158" s="99"/>
      <c r="R158" s="422"/>
    </row>
    <row r="159" spans="1:18" ht="13.5" customHeight="1" x14ac:dyDescent="0.2">
      <c r="A159" s="417"/>
      <c r="B159" s="418"/>
      <c r="C159" s="43" t="s">
        <v>26</v>
      </c>
      <c r="D159" s="65">
        <f>SUM(D154:D158)</f>
        <v>46</v>
      </c>
      <c r="E159" s="65">
        <f t="shared" ref="E159:L159" si="41">SUM(E154:E158)</f>
        <v>123.68</v>
      </c>
      <c r="F159" s="65">
        <f t="shared" si="41"/>
        <v>0.24</v>
      </c>
      <c r="G159" s="65">
        <f t="shared" si="41"/>
        <v>1.74</v>
      </c>
      <c r="H159" s="65">
        <f>SUM(H154:H158)</f>
        <v>7029.96</v>
      </c>
      <c r="I159" s="60">
        <f t="shared" si="41"/>
        <v>0</v>
      </c>
      <c r="J159" s="40">
        <f t="shared" si="41"/>
        <v>1303.1099999999999</v>
      </c>
      <c r="K159" s="40">
        <f t="shared" si="41"/>
        <v>5726.85</v>
      </c>
      <c r="L159" s="40">
        <f t="shared" si="41"/>
        <v>0</v>
      </c>
      <c r="M159" s="40">
        <f t="shared" si="40"/>
        <v>7029.96</v>
      </c>
      <c r="N159" s="99"/>
      <c r="O159" s="99"/>
      <c r="P159" s="99"/>
      <c r="Q159" s="99"/>
      <c r="R159" s="422"/>
    </row>
    <row r="160" spans="1:18" ht="14.25" customHeight="1" x14ac:dyDescent="0.2">
      <c r="A160" s="417">
        <v>20</v>
      </c>
      <c r="B160" s="418" t="s">
        <v>88</v>
      </c>
      <c r="C160" s="43">
        <v>2019</v>
      </c>
      <c r="D160" s="60">
        <v>570</v>
      </c>
      <c r="E160" s="60">
        <v>1494.4</v>
      </c>
      <c r="F160" s="60">
        <v>2.34</v>
      </c>
      <c r="G160" s="60">
        <v>13.9</v>
      </c>
      <c r="H160" s="62">
        <f>J160+K160+L160+I160</f>
        <v>4621.62</v>
      </c>
      <c r="I160" s="63">
        <v>0</v>
      </c>
      <c r="J160" s="40">
        <v>4621.62</v>
      </c>
      <c r="K160" s="40">
        <v>0</v>
      </c>
      <c r="L160" s="40">
        <v>0</v>
      </c>
      <c r="M160" s="40">
        <f t="shared" si="40"/>
        <v>4621.62</v>
      </c>
      <c r="N160" s="99" t="s">
        <v>48</v>
      </c>
      <c r="O160" s="99"/>
      <c r="P160" s="99"/>
      <c r="Q160" s="99"/>
      <c r="R160" s="422"/>
    </row>
    <row r="161" spans="1:18" ht="14.25" customHeight="1" x14ac:dyDescent="0.2">
      <c r="A161" s="417"/>
      <c r="B161" s="418"/>
      <c r="C161" s="43">
        <v>2020</v>
      </c>
      <c r="D161" s="60">
        <v>0</v>
      </c>
      <c r="E161" s="60">
        <v>0</v>
      </c>
      <c r="F161" s="60">
        <v>0</v>
      </c>
      <c r="G161" s="60"/>
      <c r="H161" s="62">
        <f>J161+K161+L161+I161</f>
        <v>26000.16</v>
      </c>
      <c r="I161" s="63">
        <v>0</v>
      </c>
      <c r="J161" s="40">
        <f>2000</f>
        <v>2000</v>
      </c>
      <c r="K161" s="40">
        <f>23600+400.16</f>
        <v>24000.16</v>
      </c>
      <c r="L161" s="40">
        <v>0</v>
      </c>
      <c r="M161" s="40">
        <f t="shared" si="40"/>
        <v>26000.16</v>
      </c>
      <c r="N161" s="99"/>
      <c r="O161" s="99" t="s">
        <v>54</v>
      </c>
      <c r="P161" s="99" t="s">
        <v>49</v>
      </c>
      <c r="Q161" s="99"/>
      <c r="R161" s="422"/>
    </row>
    <row r="162" spans="1:18" ht="14.25" customHeight="1" x14ac:dyDescent="0.2">
      <c r="A162" s="417"/>
      <c r="B162" s="418"/>
      <c r="C162" s="43">
        <v>2021</v>
      </c>
      <c r="D162" s="60"/>
      <c r="E162" s="64"/>
      <c r="F162" s="60"/>
      <c r="G162" s="60"/>
      <c r="H162" s="62">
        <f>J162+K162+L162+I162</f>
        <v>3200</v>
      </c>
      <c r="I162" s="63">
        <v>0</v>
      </c>
      <c r="J162" s="40">
        <v>0</v>
      </c>
      <c r="K162" s="40">
        <v>3200</v>
      </c>
      <c r="L162" s="40">
        <v>0</v>
      </c>
      <c r="M162" s="40">
        <f t="shared" si="40"/>
        <v>3200</v>
      </c>
      <c r="N162" s="99"/>
      <c r="O162" s="99"/>
      <c r="P162" s="99"/>
      <c r="Q162" s="99" t="s">
        <v>48</v>
      </c>
      <c r="R162" s="422"/>
    </row>
    <row r="163" spans="1:18" ht="14.25" customHeight="1" x14ac:dyDescent="0.2">
      <c r="A163" s="417"/>
      <c r="B163" s="418"/>
      <c r="C163" s="43">
        <v>2022</v>
      </c>
      <c r="D163" s="60"/>
      <c r="E163" s="60"/>
      <c r="F163" s="60"/>
      <c r="G163" s="60"/>
      <c r="H163" s="62">
        <f>J163+K163+L163+I163</f>
        <v>0</v>
      </c>
      <c r="I163" s="63">
        <v>0</v>
      </c>
      <c r="J163" s="40">
        <v>0</v>
      </c>
      <c r="K163" s="40">
        <v>0</v>
      </c>
      <c r="L163" s="40">
        <v>0</v>
      </c>
      <c r="M163" s="40">
        <f t="shared" si="40"/>
        <v>0</v>
      </c>
      <c r="N163" s="99"/>
      <c r="O163" s="99"/>
      <c r="P163" s="99"/>
      <c r="Q163" s="99"/>
      <c r="R163" s="422"/>
    </row>
    <row r="164" spans="1:18" ht="14.25" customHeight="1" x14ac:dyDescent="0.2">
      <c r="A164" s="417"/>
      <c r="B164" s="418"/>
      <c r="C164" s="43">
        <v>2023</v>
      </c>
      <c r="D164" s="60"/>
      <c r="E164" s="60"/>
      <c r="F164" s="60"/>
      <c r="G164" s="60"/>
      <c r="H164" s="62">
        <f>J164+K164+L164+I164</f>
        <v>0</v>
      </c>
      <c r="I164" s="63">
        <v>0</v>
      </c>
      <c r="J164" s="40">
        <v>0</v>
      </c>
      <c r="K164" s="40">
        <v>0</v>
      </c>
      <c r="L164" s="40">
        <v>0</v>
      </c>
      <c r="M164" s="40">
        <f t="shared" si="40"/>
        <v>0</v>
      </c>
      <c r="N164" s="99"/>
      <c r="O164" s="99"/>
      <c r="P164" s="99"/>
      <c r="Q164" s="99"/>
      <c r="R164" s="422"/>
    </row>
    <row r="165" spans="1:18" ht="14.25" customHeight="1" x14ac:dyDescent="0.2">
      <c r="A165" s="417"/>
      <c r="B165" s="418"/>
      <c r="C165" s="43" t="s">
        <v>26</v>
      </c>
      <c r="D165" s="65">
        <f t="shared" ref="D165:L165" si="42">SUM(D160:D164)</f>
        <v>570</v>
      </c>
      <c r="E165" s="65">
        <f t="shared" si="42"/>
        <v>1494.4</v>
      </c>
      <c r="F165" s="65">
        <f t="shared" si="42"/>
        <v>2.34</v>
      </c>
      <c r="G165" s="65">
        <f t="shared" si="42"/>
        <v>13.9</v>
      </c>
      <c r="H165" s="65">
        <f t="shared" si="42"/>
        <v>33821.78</v>
      </c>
      <c r="I165" s="60">
        <f t="shared" si="42"/>
        <v>0</v>
      </c>
      <c r="J165" s="40">
        <f t="shared" si="42"/>
        <v>6621.62</v>
      </c>
      <c r="K165" s="40">
        <f t="shared" si="42"/>
        <v>27200.16</v>
      </c>
      <c r="L165" s="40">
        <f t="shared" si="42"/>
        <v>0</v>
      </c>
      <c r="M165" s="40">
        <f t="shared" si="40"/>
        <v>33821.78</v>
      </c>
      <c r="N165" s="99"/>
      <c r="O165" s="99"/>
      <c r="P165" s="99"/>
      <c r="Q165" s="99"/>
      <c r="R165" s="422"/>
    </row>
    <row r="166" spans="1:18" x14ac:dyDescent="0.2">
      <c r="A166" s="426" t="s">
        <v>29</v>
      </c>
      <c r="B166" s="426"/>
      <c r="C166" s="43" t="s">
        <v>23</v>
      </c>
      <c r="D166" s="65">
        <f>D154+D160</f>
        <v>616</v>
      </c>
      <c r="E166" s="65">
        <f t="shared" ref="E166:L166" si="43">E154+E160</f>
        <v>1618.0800000000002</v>
      </c>
      <c r="F166" s="65">
        <f>F154+F160</f>
        <v>2.58</v>
      </c>
      <c r="G166" s="65">
        <f t="shared" si="43"/>
        <v>15.64</v>
      </c>
      <c r="H166" s="65">
        <f>H154+H160</f>
        <v>11651.58</v>
      </c>
      <c r="I166" s="65">
        <f t="shared" si="43"/>
        <v>0</v>
      </c>
      <c r="J166" s="65">
        <f>J154+J160</f>
        <v>5924.73</v>
      </c>
      <c r="K166" s="65">
        <f t="shared" si="43"/>
        <v>5726.85</v>
      </c>
      <c r="L166" s="65">
        <f t="shared" si="43"/>
        <v>0</v>
      </c>
      <c r="M166" s="40">
        <f t="shared" si="40"/>
        <v>11651.58</v>
      </c>
      <c r="N166" s="99"/>
      <c r="O166" s="99"/>
      <c r="P166" s="99"/>
      <c r="Q166" s="99"/>
      <c r="R166" s="422"/>
    </row>
    <row r="167" spans="1:18" x14ac:dyDescent="0.2">
      <c r="A167" s="426"/>
      <c r="B167" s="426"/>
      <c r="C167" s="43" t="s">
        <v>24</v>
      </c>
      <c r="D167" s="65">
        <f t="shared" ref="D167:L170" si="44">D155+D161</f>
        <v>0</v>
      </c>
      <c r="E167" s="65">
        <f t="shared" si="44"/>
        <v>0</v>
      </c>
      <c r="F167" s="65">
        <f t="shared" si="44"/>
        <v>0</v>
      </c>
      <c r="G167" s="65">
        <f t="shared" si="44"/>
        <v>0</v>
      </c>
      <c r="H167" s="65">
        <f t="shared" si="44"/>
        <v>26000.16</v>
      </c>
      <c r="I167" s="65">
        <f t="shared" si="44"/>
        <v>0</v>
      </c>
      <c r="J167" s="65">
        <f>J155+J161</f>
        <v>2000</v>
      </c>
      <c r="K167" s="65">
        <f t="shared" si="44"/>
        <v>24000.16</v>
      </c>
      <c r="L167" s="65">
        <f t="shared" si="44"/>
        <v>0</v>
      </c>
      <c r="M167" s="40">
        <f t="shared" si="40"/>
        <v>26000.16</v>
      </c>
      <c r="N167" s="40"/>
      <c r="O167" s="99"/>
      <c r="P167" s="99"/>
      <c r="Q167" s="99"/>
      <c r="R167" s="422"/>
    </row>
    <row r="168" spans="1:18" x14ac:dyDescent="0.2">
      <c r="A168" s="426"/>
      <c r="B168" s="426"/>
      <c r="C168" s="43" t="s">
        <v>25</v>
      </c>
      <c r="D168" s="65">
        <f t="shared" si="44"/>
        <v>0</v>
      </c>
      <c r="E168" s="65">
        <f t="shared" si="44"/>
        <v>0</v>
      </c>
      <c r="F168" s="65">
        <f t="shared" si="44"/>
        <v>0</v>
      </c>
      <c r="G168" s="65">
        <f t="shared" si="44"/>
        <v>0</v>
      </c>
      <c r="H168" s="65">
        <f t="shared" si="44"/>
        <v>3200</v>
      </c>
      <c r="I168" s="65">
        <f t="shared" si="44"/>
        <v>0</v>
      </c>
      <c r="J168" s="65">
        <f t="shared" si="44"/>
        <v>0</v>
      </c>
      <c r="K168" s="65">
        <f t="shared" si="44"/>
        <v>3200</v>
      </c>
      <c r="L168" s="65">
        <f t="shared" si="44"/>
        <v>0</v>
      </c>
      <c r="M168" s="40">
        <f t="shared" si="40"/>
        <v>3200</v>
      </c>
      <c r="N168" s="99"/>
      <c r="O168" s="99"/>
      <c r="P168" s="99"/>
      <c r="Q168" s="99"/>
      <c r="R168" s="422"/>
    </row>
    <row r="169" spans="1:18" x14ac:dyDescent="0.2">
      <c r="A169" s="426"/>
      <c r="B169" s="426"/>
      <c r="C169" s="43" t="s">
        <v>38</v>
      </c>
      <c r="D169" s="65">
        <f t="shared" si="44"/>
        <v>0</v>
      </c>
      <c r="E169" s="65">
        <f t="shared" si="44"/>
        <v>0</v>
      </c>
      <c r="F169" s="65">
        <f t="shared" si="44"/>
        <v>0</v>
      </c>
      <c r="G169" s="65">
        <f t="shared" si="44"/>
        <v>0</v>
      </c>
      <c r="H169" s="65">
        <f t="shared" si="44"/>
        <v>0</v>
      </c>
      <c r="I169" s="65">
        <f t="shared" si="44"/>
        <v>0</v>
      </c>
      <c r="J169" s="65">
        <f t="shared" si="44"/>
        <v>0</v>
      </c>
      <c r="K169" s="65">
        <f t="shared" si="44"/>
        <v>0</v>
      </c>
      <c r="L169" s="65">
        <f t="shared" si="44"/>
        <v>0</v>
      </c>
      <c r="M169" s="40">
        <f t="shared" si="40"/>
        <v>0</v>
      </c>
      <c r="N169" s="99"/>
      <c r="O169" s="99"/>
      <c r="P169" s="99"/>
      <c r="Q169" s="99"/>
      <c r="R169" s="422"/>
    </row>
    <row r="170" spans="1:18" x14ac:dyDescent="0.2">
      <c r="A170" s="426"/>
      <c r="B170" s="426"/>
      <c r="C170" s="43" t="s">
        <v>39</v>
      </c>
      <c r="D170" s="65">
        <f t="shared" si="44"/>
        <v>0</v>
      </c>
      <c r="E170" s="65">
        <f t="shared" si="44"/>
        <v>0</v>
      </c>
      <c r="F170" s="65">
        <f t="shared" si="44"/>
        <v>0</v>
      </c>
      <c r="G170" s="65">
        <f t="shared" si="44"/>
        <v>0</v>
      </c>
      <c r="H170" s="65">
        <f t="shared" si="44"/>
        <v>0</v>
      </c>
      <c r="I170" s="65">
        <f t="shared" si="44"/>
        <v>0</v>
      </c>
      <c r="J170" s="65">
        <f t="shared" si="44"/>
        <v>0</v>
      </c>
      <c r="K170" s="65">
        <f t="shared" si="44"/>
        <v>0</v>
      </c>
      <c r="L170" s="65">
        <f t="shared" si="44"/>
        <v>0</v>
      </c>
      <c r="M170" s="40">
        <f t="shared" si="40"/>
        <v>0</v>
      </c>
      <c r="N170" s="99"/>
      <c r="O170" s="99"/>
      <c r="P170" s="99"/>
      <c r="Q170" s="99"/>
      <c r="R170" s="422"/>
    </row>
    <row r="171" spans="1:18" x14ac:dyDescent="0.2">
      <c r="A171" s="426"/>
      <c r="B171" s="426"/>
      <c r="C171" s="43" t="s">
        <v>12</v>
      </c>
      <c r="D171" s="65">
        <f t="shared" ref="D171:L171" si="45">SUM(D166:D170)</f>
        <v>616</v>
      </c>
      <c r="E171" s="65">
        <f t="shared" si="45"/>
        <v>1618.0800000000002</v>
      </c>
      <c r="F171" s="65">
        <f t="shared" si="45"/>
        <v>2.58</v>
      </c>
      <c r="G171" s="65">
        <f t="shared" si="45"/>
        <v>15.64</v>
      </c>
      <c r="H171" s="62">
        <f t="shared" si="45"/>
        <v>40851.74</v>
      </c>
      <c r="I171" s="63">
        <f t="shared" si="45"/>
        <v>0</v>
      </c>
      <c r="J171" s="40">
        <f t="shared" si="45"/>
        <v>7924.73</v>
      </c>
      <c r="K171" s="40">
        <f t="shared" si="45"/>
        <v>32927.01</v>
      </c>
      <c r="L171" s="40">
        <f t="shared" si="45"/>
        <v>0</v>
      </c>
      <c r="M171" s="40">
        <f t="shared" si="40"/>
        <v>40851.740000000005</v>
      </c>
      <c r="N171" s="99"/>
      <c r="O171" s="99"/>
      <c r="P171" s="99"/>
      <c r="Q171" s="99"/>
      <c r="R171" s="422"/>
    </row>
    <row r="172" spans="1:18" x14ac:dyDescent="0.2">
      <c r="A172" s="427" t="s">
        <v>11</v>
      </c>
      <c r="B172" s="428"/>
      <c r="C172" s="66"/>
      <c r="D172" s="67"/>
      <c r="E172" s="98"/>
      <c r="F172" s="67"/>
      <c r="G172" s="67"/>
      <c r="H172" s="66"/>
      <c r="I172" s="66"/>
      <c r="J172" s="68"/>
      <c r="K172" s="68"/>
      <c r="L172" s="68"/>
      <c r="M172" s="68"/>
      <c r="N172" s="66"/>
      <c r="O172" s="66"/>
      <c r="P172" s="66"/>
      <c r="Q172" s="66"/>
      <c r="R172" s="82"/>
    </row>
    <row r="173" spans="1:18" x14ac:dyDescent="0.2">
      <c r="A173" s="417">
        <v>21</v>
      </c>
      <c r="B173" s="418" t="s">
        <v>76</v>
      </c>
      <c r="C173" s="43">
        <v>2019</v>
      </c>
      <c r="D173" s="60"/>
      <c r="E173" s="60"/>
      <c r="F173" s="60"/>
      <c r="G173" s="60"/>
      <c r="H173" s="62">
        <f>I173+J173+K173+L173</f>
        <v>0</v>
      </c>
      <c r="I173" s="69">
        <v>0</v>
      </c>
      <c r="J173" s="70">
        <v>0</v>
      </c>
      <c r="K173" s="70">
        <v>0</v>
      </c>
      <c r="L173" s="70">
        <v>0</v>
      </c>
      <c r="M173" s="40">
        <f t="shared" ref="M173:M184" si="46">J173+K173+L173</f>
        <v>0</v>
      </c>
      <c r="N173" s="99"/>
      <c r="O173" s="99"/>
      <c r="P173" s="99"/>
      <c r="Q173" s="99"/>
      <c r="R173" s="445"/>
    </row>
    <row r="174" spans="1:18" x14ac:dyDescent="0.2">
      <c r="A174" s="417"/>
      <c r="B174" s="418"/>
      <c r="C174" s="43" t="s">
        <v>24</v>
      </c>
      <c r="D174" s="60"/>
      <c r="E174" s="60"/>
      <c r="F174" s="60"/>
      <c r="G174" s="60"/>
      <c r="H174" s="62">
        <f>I174+J174+K174+L174</f>
        <v>0</v>
      </c>
      <c r="I174" s="69">
        <v>0</v>
      </c>
      <c r="J174" s="70"/>
      <c r="K174" s="70">
        <f>G173*4000</f>
        <v>0</v>
      </c>
      <c r="L174" s="70">
        <v>0</v>
      </c>
      <c r="M174" s="40">
        <f t="shared" si="46"/>
        <v>0</v>
      </c>
      <c r="N174" s="99"/>
      <c r="O174" s="99"/>
      <c r="P174" s="99"/>
      <c r="Q174" s="99"/>
      <c r="R174" s="445"/>
    </row>
    <row r="175" spans="1:18" x14ac:dyDescent="0.2">
      <c r="A175" s="417"/>
      <c r="B175" s="418"/>
      <c r="C175" s="43">
        <v>2021</v>
      </c>
      <c r="D175" s="60"/>
      <c r="E175" s="60"/>
      <c r="F175" s="60"/>
      <c r="G175" s="60"/>
      <c r="H175" s="62">
        <f>I175+J175+K175+L175</f>
        <v>0</v>
      </c>
      <c r="I175" s="69">
        <v>0</v>
      </c>
      <c r="J175" s="70"/>
      <c r="K175" s="70"/>
      <c r="L175" s="70">
        <v>0</v>
      </c>
      <c r="M175" s="40">
        <f t="shared" si="46"/>
        <v>0</v>
      </c>
      <c r="N175" s="99"/>
      <c r="O175" s="99"/>
      <c r="P175" s="99"/>
      <c r="Q175" s="99"/>
      <c r="R175" s="445"/>
    </row>
    <row r="176" spans="1:18" x14ac:dyDescent="0.2">
      <c r="A176" s="417"/>
      <c r="B176" s="418"/>
      <c r="C176" s="43">
        <v>2022</v>
      </c>
      <c r="D176" s="60"/>
      <c r="E176" s="60"/>
      <c r="F176" s="60"/>
      <c r="G176" s="60"/>
      <c r="H176" s="62">
        <f>I176+J176+K176+L176</f>
        <v>0</v>
      </c>
      <c r="I176" s="69">
        <v>0</v>
      </c>
      <c r="J176" s="70">
        <v>0</v>
      </c>
      <c r="K176" s="70">
        <v>0</v>
      </c>
      <c r="L176" s="70">
        <v>0</v>
      </c>
      <c r="M176" s="40">
        <f t="shared" si="46"/>
        <v>0</v>
      </c>
      <c r="N176" s="99"/>
      <c r="O176" s="99"/>
      <c r="P176" s="99"/>
      <c r="Q176" s="99"/>
      <c r="R176" s="445"/>
    </row>
    <row r="177" spans="1:18" x14ac:dyDescent="0.2">
      <c r="A177" s="417"/>
      <c r="B177" s="418"/>
      <c r="C177" s="43">
        <v>2023</v>
      </c>
      <c r="D177" s="60">
        <v>92</v>
      </c>
      <c r="E177" s="60">
        <v>129.01</v>
      </c>
      <c r="F177" s="60">
        <v>0.3</v>
      </c>
      <c r="G177" s="60">
        <v>3.5</v>
      </c>
      <c r="H177" s="62">
        <f>I177+J177+K177+L177</f>
        <v>21000</v>
      </c>
      <c r="I177" s="69">
        <v>0</v>
      </c>
      <c r="J177" s="70">
        <f>G177*1800-J176</f>
        <v>6300</v>
      </c>
      <c r="K177" s="70">
        <f>G177*4200</f>
        <v>14700</v>
      </c>
      <c r="L177" s="70">
        <v>0</v>
      </c>
      <c r="M177" s="40">
        <f t="shared" si="46"/>
        <v>21000</v>
      </c>
      <c r="N177" s="99" t="s">
        <v>28</v>
      </c>
      <c r="O177" s="99" t="s">
        <v>51</v>
      </c>
      <c r="P177" s="99" t="s">
        <v>53</v>
      </c>
      <c r="Q177" s="99" t="s">
        <v>31</v>
      </c>
      <c r="R177" s="445"/>
    </row>
    <row r="178" spans="1:18" x14ac:dyDescent="0.2">
      <c r="A178" s="417"/>
      <c r="B178" s="418"/>
      <c r="C178" s="43" t="s">
        <v>26</v>
      </c>
      <c r="D178" s="60">
        <f t="shared" ref="D178:L178" si="47">SUM(D173:D177)</f>
        <v>92</v>
      </c>
      <c r="E178" s="60">
        <f t="shared" si="47"/>
        <v>129.01</v>
      </c>
      <c r="F178" s="60">
        <f t="shared" si="47"/>
        <v>0.3</v>
      </c>
      <c r="G178" s="60">
        <f t="shared" si="47"/>
        <v>3.5</v>
      </c>
      <c r="H178" s="63">
        <f t="shared" si="47"/>
        <v>21000</v>
      </c>
      <c r="I178" s="63">
        <f t="shared" si="47"/>
        <v>0</v>
      </c>
      <c r="J178" s="40">
        <f t="shared" si="47"/>
        <v>6300</v>
      </c>
      <c r="K178" s="40">
        <f t="shared" si="47"/>
        <v>14700</v>
      </c>
      <c r="L178" s="40">
        <f t="shared" si="47"/>
        <v>0</v>
      </c>
      <c r="M178" s="40">
        <f t="shared" si="46"/>
        <v>21000</v>
      </c>
      <c r="N178" s="99"/>
      <c r="O178" s="99"/>
      <c r="P178" s="99"/>
      <c r="Q178" s="99"/>
      <c r="R178" s="445"/>
    </row>
    <row r="179" spans="1:18" x14ac:dyDescent="0.2">
      <c r="A179" s="426" t="s">
        <v>29</v>
      </c>
      <c r="B179" s="426"/>
      <c r="C179" s="43" t="s">
        <v>23</v>
      </c>
      <c r="D179" s="60">
        <f>D173</f>
        <v>0</v>
      </c>
      <c r="E179" s="60">
        <f t="shared" ref="E179:L179" si="48">E173</f>
        <v>0</v>
      </c>
      <c r="F179" s="60">
        <f t="shared" si="48"/>
        <v>0</v>
      </c>
      <c r="G179" s="60">
        <f t="shared" si="48"/>
        <v>0</v>
      </c>
      <c r="H179" s="60">
        <f>H173</f>
        <v>0</v>
      </c>
      <c r="I179" s="60">
        <f t="shared" si="48"/>
        <v>0</v>
      </c>
      <c r="J179" s="40">
        <f t="shared" si="48"/>
        <v>0</v>
      </c>
      <c r="K179" s="40">
        <f t="shared" si="48"/>
        <v>0</v>
      </c>
      <c r="L179" s="40">
        <f t="shared" si="48"/>
        <v>0</v>
      </c>
      <c r="M179" s="40">
        <f t="shared" si="46"/>
        <v>0</v>
      </c>
      <c r="N179" s="99"/>
      <c r="O179" s="99"/>
      <c r="P179" s="99"/>
      <c r="Q179" s="99"/>
      <c r="R179" s="446"/>
    </row>
    <row r="180" spans="1:18" x14ac:dyDescent="0.2">
      <c r="A180" s="426"/>
      <c r="B180" s="426"/>
      <c r="C180" s="43">
        <v>2020</v>
      </c>
      <c r="D180" s="60">
        <f t="shared" ref="D180:L183" si="49">D174</f>
        <v>0</v>
      </c>
      <c r="E180" s="60">
        <f t="shared" si="49"/>
        <v>0</v>
      </c>
      <c r="F180" s="60">
        <f t="shared" si="49"/>
        <v>0</v>
      </c>
      <c r="G180" s="60">
        <f t="shared" si="49"/>
        <v>0</v>
      </c>
      <c r="H180" s="60">
        <f t="shared" si="49"/>
        <v>0</v>
      </c>
      <c r="I180" s="60">
        <f t="shared" si="49"/>
        <v>0</v>
      </c>
      <c r="J180" s="40">
        <f t="shared" si="49"/>
        <v>0</v>
      </c>
      <c r="K180" s="40">
        <f t="shared" si="49"/>
        <v>0</v>
      </c>
      <c r="L180" s="40">
        <f t="shared" si="49"/>
        <v>0</v>
      </c>
      <c r="M180" s="40">
        <f t="shared" si="46"/>
        <v>0</v>
      </c>
      <c r="N180" s="99"/>
      <c r="O180" s="99"/>
      <c r="P180" s="99"/>
      <c r="Q180" s="99"/>
      <c r="R180" s="446"/>
    </row>
    <row r="181" spans="1:18" x14ac:dyDescent="0.2">
      <c r="A181" s="426"/>
      <c r="B181" s="426"/>
      <c r="C181" s="43">
        <v>2021</v>
      </c>
      <c r="D181" s="60">
        <f t="shared" si="49"/>
        <v>0</v>
      </c>
      <c r="E181" s="60">
        <f t="shared" si="49"/>
        <v>0</v>
      </c>
      <c r="F181" s="60">
        <f t="shared" si="49"/>
        <v>0</v>
      </c>
      <c r="G181" s="60">
        <f t="shared" si="49"/>
        <v>0</v>
      </c>
      <c r="H181" s="60">
        <f t="shared" si="49"/>
        <v>0</v>
      </c>
      <c r="I181" s="60">
        <f t="shared" si="49"/>
        <v>0</v>
      </c>
      <c r="J181" s="40">
        <f t="shared" si="49"/>
        <v>0</v>
      </c>
      <c r="K181" s="40">
        <f t="shared" si="49"/>
        <v>0</v>
      </c>
      <c r="L181" s="40">
        <f t="shared" si="49"/>
        <v>0</v>
      </c>
      <c r="M181" s="40">
        <f t="shared" si="46"/>
        <v>0</v>
      </c>
      <c r="N181" s="99"/>
      <c r="O181" s="99"/>
      <c r="P181" s="99"/>
      <c r="Q181" s="99"/>
      <c r="R181" s="446"/>
    </row>
    <row r="182" spans="1:18" x14ac:dyDescent="0.2">
      <c r="A182" s="426"/>
      <c r="B182" s="426"/>
      <c r="C182" s="43">
        <v>2022</v>
      </c>
      <c r="D182" s="60">
        <f t="shared" si="49"/>
        <v>0</v>
      </c>
      <c r="E182" s="60">
        <f t="shared" si="49"/>
        <v>0</v>
      </c>
      <c r="F182" s="60">
        <f t="shared" si="49"/>
        <v>0</v>
      </c>
      <c r="G182" s="60">
        <f t="shared" si="49"/>
        <v>0</v>
      </c>
      <c r="H182" s="60">
        <f t="shared" si="49"/>
        <v>0</v>
      </c>
      <c r="I182" s="60">
        <f t="shared" si="49"/>
        <v>0</v>
      </c>
      <c r="J182" s="40">
        <f t="shared" si="49"/>
        <v>0</v>
      </c>
      <c r="K182" s="40">
        <f t="shared" si="49"/>
        <v>0</v>
      </c>
      <c r="L182" s="40">
        <f t="shared" si="49"/>
        <v>0</v>
      </c>
      <c r="M182" s="40">
        <f t="shared" si="46"/>
        <v>0</v>
      </c>
      <c r="N182" s="99"/>
      <c r="O182" s="99"/>
      <c r="P182" s="99"/>
      <c r="Q182" s="99"/>
      <c r="R182" s="446"/>
    </row>
    <row r="183" spans="1:18" x14ac:dyDescent="0.2">
      <c r="A183" s="426"/>
      <c r="B183" s="426"/>
      <c r="C183" s="43">
        <v>2023</v>
      </c>
      <c r="D183" s="60">
        <f>D177</f>
        <v>92</v>
      </c>
      <c r="E183" s="60">
        <f t="shared" si="49"/>
        <v>129.01</v>
      </c>
      <c r="F183" s="60">
        <f t="shared" si="49"/>
        <v>0.3</v>
      </c>
      <c r="G183" s="60">
        <f t="shared" si="49"/>
        <v>3.5</v>
      </c>
      <c r="H183" s="60">
        <f t="shared" si="49"/>
        <v>21000</v>
      </c>
      <c r="I183" s="60">
        <f t="shared" si="49"/>
        <v>0</v>
      </c>
      <c r="J183" s="40">
        <f t="shared" si="49"/>
        <v>6300</v>
      </c>
      <c r="K183" s="40">
        <f t="shared" si="49"/>
        <v>14700</v>
      </c>
      <c r="L183" s="40">
        <f t="shared" si="49"/>
        <v>0</v>
      </c>
      <c r="M183" s="40">
        <f t="shared" si="46"/>
        <v>21000</v>
      </c>
      <c r="N183" s="99"/>
      <c r="O183" s="99"/>
      <c r="P183" s="99"/>
      <c r="Q183" s="99"/>
      <c r="R183" s="446"/>
    </row>
    <row r="184" spans="1:18" x14ac:dyDescent="0.2">
      <c r="A184" s="426"/>
      <c r="B184" s="426"/>
      <c r="C184" s="43" t="s">
        <v>12</v>
      </c>
      <c r="D184" s="60">
        <f>SUM(D179:D183)</f>
        <v>92</v>
      </c>
      <c r="E184" s="60">
        <f>SUM(E179:E183)</f>
        <v>129.01</v>
      </c>
      <c r="F184" s="60">
        <f t="shared" ref="F184:L184" si="50">SUM(F179:F183)</f>
        <v>0.3</v>
      </c>
      <c r="G184" s="60">
        <f t="shared" si="50"/>
        <v>3.5</v>
      </c>
      <c r="H184" s="60">
        <f>SUM(H179:H183)</f>
        <v>21000</v>
      </c>
      <c r="I184" s="60">
        <f t="shared" si="50"/>
        <v>0</v>
      </c>
      <c r="J184" s="40">
        <f t="shared" si="50"/>
        <v>6300</v>
      </c>
      <c r="K184" s="40">
        <f t="shared" si="50"/>
        <v>14700</v>
      </c>
      <c r="L184" s="40">
        <f t="shared" si="50"/>
        <v>0</v>
      </c>
      <c r="M184" s="40">
        <f t="shared" si="46"/>
        <v>21000</v>
      </c>
      <c r="N184" s="99"/>
      <c r="O184" s="99"/>
      <c r="P184" s="99"/>
      <c r="Q184" s="99"/>
      <c r="R184" s="446"/>
    </row>
    <row r="185" spans="1:18" x14ac:dyDescent="0.2">
      <c r="A185" s="427" t="s">
        <v>113</v>
      </c>
      <c r="B185" s="428"/>
      <c r="C185" s="66"/>
      <c r="D185" s="67"/>
      <c r="E185" s="98"/>
      <c r="F185" s="67"/>
      <c r="G185" s="67"/>
      <c r="H185" s="66"/>
      <c r="I185" s="66"/>
      <c r="J185" s="68"/>
      <c r="K185" s="68"/>
      <c r="L185" s="68"/>
      <c r="M185" s="68"/>
      <c r="N185" s="66"/>
      <c r="O185" s="66"/>
      <c r="P185" s="66"/>
      <c r="Q185" s="66"/>
      <c r="R185" s="82"/>
    </row>
    <row r="186" spans="1:18" x14ac:dyDescent="0.2">
      <c r="A186" s="417">
        <v>22</v>
      </c>
      <c r="B186" s="418" t="s">
        <v>109</v>
      </c>
      <c r="C186" s="43">
        <v>2019</v>
      </c>
      <c r="D186" s="60"/>
      <c r="E186" s="60"/>
      <c r="F186" s="60"/>
      <c r="G186" s="60"/>
      <c r="H186" s="62">
        <f>I186+J186+K186+L186</f>
        <v>0</v>
      </c>
      <c r="I186" s="69">
        <v>0</v>
      </c>
      <c r="J186" s="70"/>
      <c r="K186" s="70">
        <v>0</v>
      </c>
      <c r="L186" s="70">
        <v>0</v>
      </c>
      <c r="M186" s="40">
        <f t="shared" ref="M186:M197" si="51">J186+K186+L186</f>
        <v>0</v>
      </c>
      <c r="N186" s="99"/>
      <c r="O186" s="99"/>
      <c r="P186" s="99"/>
      <c r="Q186" s="99"/>
      <c r="R186" s="445"/>
    </row>
    <row r="187" spans="1:18" x14ac:dyDescent="0.2">
      <c r="A187" s="417"/>
      <c r="B187" s="418"/>
      <c r="C187" s="43" t="s">
        <v>24</v>
      </c>
      <c r="D187" s="60">
        <v>174</v>
      </c>
      <c r="E187" s="60">
        <v>258.3</v>
      </c>
      <c r="F187" s="60">
        <v>2.8</v>
      </c>
      <c r="G187" s="60">
        <v>3.8</v>
      </c>
      <c r="H187" s="62">
        <f>I187+J187+K187+L187</f>
        <v>2000</v>
      </c>
      <c r="I187" s="69">
        <v>0</v>
      </c>
      <c r="J187" s="70">
        <v>2000</v>
      </c>
      <c r="K187" s="70"/>
      <c r="L187" s="70">
        <v>0</v>
      </c>
      <c r="M187" s="40">
        <f t="shared" si="51"/>
        <v>2000</v>
      </c>
      <c r="N187" s="99" t="s">
        <v>54</v>
      </c>
      <c r="O187" s="99"/>
      <c r="P187" s="99"/>
      <c r="Q187" s="99"/>
      <c r="R187" s="445"/>
    </row>
    <row r="188" spans="1:18" x14ac:dyDescent="0.2">
      <c r="A188" s="417"/>
      <c r="B188" s="418"/>
      <c r="C188" s="43">
        <v>2021</v>
      </c>
      <c r="D188" s="60"/>
      <c r="E188" s="60"/>
      <c r="F188" s="60"/>
      <c r="G188" s="60"/>
      <c r="H188" s="62">
        <f>I188+J188+K188+L188</f>
        <v>17500</v>
      </c>
      <c r="I188" s="69">
        <v>0</v>
      </c>
      <c r="J188" s="70">
        <v>2500</v>
      </c>
      <c r="K188" s="70">
        <v>15000</v>
      </c>
      <c r="L188" s="70">
        <v>0</v>
      </c>
      <c r="M188" s="40">
        <f t="shared" si="51"/>
        <v>17500</v>
      </c>
      <c r="N188" s="99"/>
      <c r="O188" s="99" t="s">
        <v>54</v>
      </c>
      <c r="P188" s="99" t="s">
        <v>49</v>
      </c>
      <c r="Q188" s="99"/>
      <c r="R188" s="445"/>
    </row>
    <row r="189" spans="1:18" x14ac:dyDescent="0.2">
      <c r="A189" s="417"/>
      <c r="B189" s="418"/>
      <c r="C189" s="43">
        <v>2022</v>
      </c>
      <c r="D189" s="60"/>
      <c r="E189" s="60"/>
      <c r="F189" s="60"/>
      <c r="G189" s="60"/>
      <c r="H189" s="62">
        <f>I189+J189+K189+L189</f>
        <v>1212.1199999999999</v>
      </c>
      <c r="I189" s="69">
        <v>0</v>
      </c>
      <c r="J189" s="70">
        <v>0</v>
      </c>
      <c r="K189" s="70">
        <v>1212.1199999999999</v>
      </c>
      <c r="L189" s="70">
        <v>0</v>
      </c>
      <c r="M189" s="40">
        <f t="shared" si="51"/>
        <v>1212.1199999999999</v>
      </c>
      <c r="N189" s="99"/>
      <c r="O189" s="99"/>
      <c r="P189" s="99"/>
      <c r="Q189" s="99" t="s">
        <v>71</v>
      </c>
      <c r="R189" s="445"/>
    </row>
    <row r="190" spans="1:18" x14ac:dyDescent="0.2">
      <c r="A190" s="417"/>
      <c r="B190" s="418"/>
      <c r="C190" s="43">
        <v>2023</v>
      </c>
      <c r="D190" s="60"/>
      <c r="E190" s="60"/>
      <c r="F190" s="60"/>
      <c r="G190" s="60"/>
      <c r="H190" s="62">
        <f>I190+J190+K190+L190</f>
        <v>0</v>
      </c>
      <c r="I190" s="69">
        <v>0</v>
      </c>
      <c r="J190" s="70">
        <f>G190*1800-J189</f>
        <v>0</v>
      </c>
      <c r="K190" s="70">
        <f>G190*4500</f>
        <v>0</v>
      </c>
      <c r="L190" s="70">
        <v>0</v>
      </c>
      <c r="M190" s="40">
        <f t="shared" si="51"/>
        <v>0</v>
      </c>
      <c r="N190" s="99"/>
      <c r="O190" s="99"/>
      <c r="P190" s="99"/>
      <c r="Q190" s="99"/>
      <c r="R190" s="445"/>
    </row>
    <row r="191" spans="1:18" x14ac:dyDescent="0.2">
      <c r="A191" s="417"/>
      <c r="B191" s="418"/>
      <c r="C191" s="43" t="s">
        <v>26</v>
      </c>
      <c r="D191" s="60">
        <f t="shared" ref="D191:L191" si="52">SUM(D186:D190)</f>
        <v>174</v>
      </c>
      <c r="E191" s="60">
        <f t="shared" si="52"/>
        <v>258.3</v>
      </c>
      <c r="F191" s="60">
        <f t="shared" si="52"/>
        <v>2.8</v>
      </c>
      <c r="G191" s="60">
        <f t="shared" si="52"/>
        <v>3.8</v>
      </c>
      <c r="H191" s="63">
        <f t="shared" si="52"/>
        <v>20712.12</v>
      </c>
      <c r="I191" s="63">
        <f t="shared" si="52"/>
        <v>0</v>
      </c>
      <c r="J191" s="40">
        <f t="shared" si="52"/>
        <v>4500</v>
      </c>
      <c r="K191" s="40">
        <f t="shared" si="52"/>
        <v>16212.119999999999</v>
      </c>
      <c r="L191" s="40">
        <f t="shared" si="52"/>
        <v>0</v>
      </c>
      <c r="M191" s="40">
        <f t="shared" si="51"/>
        <v>20712.12</v>
      </c>
      <c r="N191" s="99"/>
      <c r="O191" s="99"/>
      <c r="P191" s="99"/>
      <c r="Q191" s="99"/>
      <c r="R191" s="445"/>
    </row>
    <row r="192" spans="1:18" x14ac:dyDescent="0.2">
      <c r="A192" s="426" t="s">
        <v>29</v>
      </c>
      <c r="B192" s="426"/>
      <c r="C192" s="43" t="s">
        <v>23</v>
      </c>
      <c r="D192" s="60">
        <f t="shared" ref="D192:L196" si="53">D186</f>
        <v>0</v>
      </c>
      <c r="E192" s="60">
        <f t="shared" si="53"/>
        <v>0</v>
      </c>
      <c r="F192" s="60">
        <f t="shared" si="53"/>
        <v>0</v>
      </c>
      <c r="G192" s="60">
        <f t="shared" si="53"/>
        <v>0</v>
      </c>
      <c r="H192" s="60">
        <f t="shared" si="53"/>
        <v>0</v>
      </c>
      <c r="I192" s="60">
        <f t="shared" si="53"/>
        <v>0</v>
      </c>
      <c r="J192" s="40">
        <f t="shared" si="53"/>
        <v>0</v>
      </c>
      <c r="K192" s="40">
        <f t="shared" si="53"/>
        <v>0</v>
      </c>
      <c r="L192" s="40">
        <f t="shared" si="53"/>
        <v>0</v>
      </c>
      <c r="M192" s="40">
        <f t="shared" si="51"/>
        <v>0</v>
      </c>
      <c r="N192" s="99"/>
      <c r="O192" s="99"/>
      <c r="P192" s="99"/>
      <c r="Q192" s="99"/>
      <c r="R192" s="446"/>
    </row>
    <row r="193" spans="1:18" x14ac:dyDescent="0.2">
      <c r="A193" s="426"/>
      <c r="B193" s="426"/>
      <c r="C193" s="43">
        <v>2020</v>
      </c>
      <c r="D193" s="60">
        <f t="shared" si="53"/>
        <v>174</v>
      </c>
      <c r="E193" s="60">
        <f t="shared" si="53"/>
        <v>258.3</v>
      </c>
      <c r="F193" s="60">
        <f t="shared" si="53"/>
        <v>2.8</v>
      </c>
      <c r="G193" s="60">
        <f t="shared" si="53"/>
        <v>3.8</v>
      </c>
      <c r="H193" s="60">
        <f t="shared" si="53"/>
        <v>2000</v>
      </c>
      <c r="I193" s="60">
        <f t="shared" si="53"/>
        <v>0</v>
      </c>
      <c r="J193" s="40">
        <f t="shared" si="53"/>
        <v>2000</v>
      </c>
      <c r="K193" s="40">
        <f t="shared" si="53"/>
        <v>0</v>
      </c>
      <c r="L193" s="40">
        <f t="shared" si="53"/>
        <v>0</v>
      </c>
      <c r="M193" s="40">
        <f t="shared" si="51"/>
        <v>2000</v>
      </c>
      <c r="N193" s="99"/>
      <c r="O193" s="99"/>
      <c r="P193" s="99"/>
      <c r="Q193" s="99"/>
      <c r="R193" s="446"/>
    </row>
    <row r="194" spans="1:18" x14ac:dyDescent="0.2">
      <c r="A194" s="426"/>
      <c r="B194" s="426"/>
      <c r="C194" s="43">
        <v>2021</v>
      </c>
      <c r="D194" s="60">
        <f t="shared" si="53"/>
        <v>0</v>
      </c>
      <c r="E194" s="60">
        <f t="shared" si="53"/>
        <v>0</v>
      </c>
      <c r="F194" s="60">
        <f t="shared" si="53"/>
        <v>0</v>
      </c>
      <c r="G194" s="60">
        <f t="shared" si="53"/>
        <v>0</v>
      </c>
      <c r="H194" s="60">
        <f t="shared" si="53"/>
        <v>17500</v>
      </c>
      <c r="I194" s="60">
        <f t="shared" si="53"/>
        <v>0</v>
      </c>
      <c r="J194" s="40">
        <f t="shared" si="53"/>
        <v>2500</v>
      </c>
      <c r="K194" s="40">
        <f t="shared" si="53"/>
        <v>15000</v>
      </c>
      <c r="L194" s="40">
        <f t="shared" si="53"/>
        <v>0</v>
      </c>
      <c r="M194" s="40">
        <f t="shared" si="51"/>
        <v>17500</v>
      </c>
      <c r="N194" s="99"/>
      <c r="O194" s="99"/>
      <c r="P194" s="99"/>
      <c r="Q194" s="99"/>
      <c r="R194" s="446"/>
    </row>
    <row r="195" spans="1:18" x14ac:dyDescent="0.2">
      <c r="A195" s="426"/>
      <c r="B195" s="426"/>
      <c r="C195" s="43">
        <v>2022</v>
      </c>
      <c r="D195" s="60">
        <f t="shared" si="53"/>
        <v>0</v>
      </c>
      <c r="E195" s="60">
        <f t="shared" si="53"/>
        <v>0</v>
      </c>
      <c r="F195" s="60">
        <f t="shared" si="53"/>
        <v>0</v>
      </c>
      <c r="G195" s="60">
        <f t="shared" si="53"/>
        <v>0</v>
      </c>
      <c r="H195" s="60">
        <f t="shared" si="53"/>
        <v>1212.1199999999999</v>
      </c>
      <c r="I195" s="60">
        <f t="shared" si="53"/>
        <v>0</v>
      </c>
      <c r="J195" s="40">
        <f t="shared" si="53"/>
        <v>0</v>
      </c>
      <c r="K195" s="40">
        <f t="shared" si="53"/>
        <v>1212.1199999999999</v>
      </c>
      <c r="L195" s="40">
        <f t="shared" si="53"/>
        <v>0</v>
      </c>
      <c r="M195" s="40">
        <f t="shared" si="51"/>
        <v>1212.1199999999999</v>
      </c>
      <c r="N195" s="99"/>
      <c r="O195" s="99"/>
      <c r="P195" s="99"/>
      <c r="Q195" s="99"/>
      <c r="R195" s="446"/>
    </row>
    <row r="196" spans="1:18" x14ac:dyDescent="0.2">
      <c r="A196" s="426"/>
      <c r="B196" s="426"/>
      <c r="C196" s="43">
        <v>2023</v>
      </c>
      <c r="D196" s="60">
        <f>D190</f>
        <v>0</v>
      </c>
      <c r="E196" s="60">
        <f t="shared" si="53"/>
        <v>0</v>
      </c>
      <c r="F196" s="60">
        <f t="shared" si="53"/>
        <v>0</v>
      </c>
      <c r="G196" s="60">
        <f t="shared" si="53"/>
        <v>0</v>
      </c>
      <c r="H196" s="60">
        <f t="shared" si="53"/>
        <v>0</v>
      </c>
      <c r="I196" s="60">
        <f t="shared" si="53"/>
        <v>0</v>
      </c>
      <c r="J196" s="40">
        <f t="shared" si="53"/>
        <v>0</v>
      </c>
      <c r="K196" s="40">
        <f t="shared" si="53"/>
        <v>0</v>
      </c>
      <c r="L196" s="40">
        <f t="shared" si="53"/>
        <v>0</v>
      </c>
      <c r="M196" s="40">
        <f t="shared" si="51"/>
        <v>0</v>
      </c>
      <c r="N196" s="99"/>
      <c r="O196" s="99"/>
      <c r="P196" s="99"/>
      <c r="Q196" s="99"/>
      <c r="R196" s="446"/>
    </row>
    <row r="197" spans="1:18" x14ac:dyDescent="0.2">
      <c r="A197" s="426"/>
      <c r="B197" s="426"/>
      <c r="C197" s="43" t="s">
        <v>12</v>
      </c>
      <c r="D197" s="60">
        <f t="shared" ref="D197:L197" si="54">SUM(D192:D196)</f>
        <v>174</v>
      </c>
      <c r="E197" s="60">
        <f t="shared" si="54"/>
        <v>258.3</v>
      </c>
      <c r="F197" s="60">
        <f t="shared" si="54"/>
        <v>2.8</v>
      </c>
      <c r="G197" s="60">
        <f t="shared" si="54"/>
        <v>3.8</v>
      </c>
      <c r="H197" s="60">
        <f t="shared" si="54"/>
        <v>20712.12</v>
      </c>
      <c r="I197" s="60">
        <f t="shared" si="54"/>
        <v>0</v>
      </c>
      <c r="J197" s="40">
        <f t="shared" si="54"/>
        <v>4500</v>
      </c>
      <c r="K197" s="40">
        <f t="shared" si="54"/>
        <v>16212.119999999999</v>
      </c>
      <c r="L197" s="40">
        <f t="shared" si="54"/>
        <v>0</v>
      </c>
      <c r="M197" s="40">
        <f t="shared" si="51"/>
        <v>20712.12</v>
      </c>
      <c r="N197" s="99"/>
      <c r="O197" s="99"/>
      <c r="P197" s="99"/>
      <c r="Q197" s="99"/>
      <c r="R197" s="446"/>
    </row>
    <row r="198" spans="1:18" ht="15.75" customHeight="1" x14ac:dyDescent="0.2">
      <c r="A198" s="427" t="s">
        <v>8</v>
      </c>
      <c r="B198" s="428"/>
      <c r="C198" s="66"/>
      <c r="D198" s="67"/>
      <c r="E198" s="98"/>
      <c r="F198" s="67"/>
      <c r="G198" s="67"/>
      <c r="H198" s="163"/>
      <c r="I198" s="66"/>
      <c r="J198" s="68"/>
      <c r="K198" s="68"/>
      <c r="L198" s="68"/>
      <c r="M198" s="68"/>
      <c r="N198" s="66"/>
      <c r="O198" s="66"/>
      <c r="P198" s="66"/>
      <c r="Q198" s="66"/>
    </row>
    <row r="199" spans="1:18" ht="15" customHeight="1" x14ac:dyDescent="0.2">
      <c r="A199" s="417">
        <v>23</v>
      </c>
      <c r="B199" s="418" t="s">
        <v>99</v>
      </c>
      <c r="C199" s="43">
        <v>2019</v>
      </c>
      <c r="D199" s="98">
        <v>120</v>
      </c>
      <c r="E199" s="98">
        <v>12500</v>
      </c>
      <c r="F199" s="44">
        <v>23.8</v>
      </c>
      <c r="G199" s="58">
        <v>5</v>
      </c>
      <c r="H199" s="164">
        <f>I199+J199+K199+L199</f>
        <v>35846.513919999998</v>
      </c>
      <c r="I199" s="165">
        <v>1797.28</v>
      </c>
      <c r="J199" s="166">
        <v>4915.2813999999998</v>
      </c>
      <c r="K199" s="166">
        <v>29133.952519999999</v>
      </c>
      <c r="L199" s="49"/>
      <c r="M199" s="49">
        <f t="shared" ref="M199:M240" si="55">J199+K199+L199</f>
        <v>34049.233919999999</v>
      </c>
      <c r="N199" s="99" t="s">
        <v>30</v>
      </c>
      <c r="O199" s="99" t="s">
        <v>55</v>
      </c>
      <c r="P199" s="99" t="s">
        <v>31</v>
      </c>
      <c r="Q199" s="99"/>
      <c r="R199" s="435" t="s">
        <v>100</v>
      </c>
    </row>
    <row r="200" spans="1:18" ht="15" customHeight="1" x14ac:dyDescent="0.2">
      <c r="A200" s="417"/>
      <c r="B200" s="418"/>
      <c r="C200" s="43">
        <v>2020</v>
      </c>
      <c r="D200" s="98"/>
      <c r="E200" s="67"/>
      <c r="F200" s="44"/>
      <c r="G200" s="45"/>
      <c r="H200" s="153">
        <f>I200+J200+K200+L200</f>
        <v>62379.260249999999</v>
      </c>
      <c r="I200" s="167"/>
      <c r="J200" s="49"/>
      <c r="K200" s="49">
        <f>97825.77417-K199-J199-I199+400</f>
        <v>62379.260249999999</v>
      </c>
      <c r="L200" s="49"/>
      <c r="M200" s="49">
        <f t="shared" si="55"/>
        <v>62379.260249999999</v>
      </c>
      <c r="N200" s="99"/>
      <c r="O200" s="99"/>
      <c r="P200" s="99"/>
      <c r="Q200" s="99" t="s">
        <v>57</v>
      </c>
      <c r="R200" s="435"/>
    </row>
    <row r="201" spans="1:18" ht="15" customHeight="1" x14ac:dyDescent="0.2">
      <c r="A201" s="417"/>
      <c r="B201" s="418"/>
      <c r="C201" s="43" t="s">
        <v>25</v>
      </c>
      <c r="D201" s="98"/>
      <c r="E201" s="67"/>
      <c r="F201" s="44"/>
      <c r="G201" s="45"/>
      <c r="H201" s="153">
        <f>I201+J201+K201+L201</f>
        <v>0</v>
      </c>
      <c r="I201" s="167"/>
      <c r="J201" s="49"/>
      <c r="K201" s="49"/>
      <c r="L201" s="49"/>
      <c r="M201" s="49">
        <f t="shared" si="55"/>
        <v>0</v>
      </c>
      <c r="N201" s="99"/>
      <c r="O201" s="99"/>
      <c r="P201" s="99"/>
      <c r="Q201" s="99"/>
      <c r="R201" s="435"/>
    </row>
    <row r="202" spans="1:18" ht="15" customHeight="1" x14ac:dyDescent="0.2">
      <c r="A202" s="417"/>
      <c r="B202" s="418"/>
      <c r="C202" s="43" t="s">
        <v>38</v>
      </c>
      <c r="D202" s="98"/>
      <c r="E202" s="67"/>
      <c r="F202" s="44"/>
      <c r="G202" s="45"/>
      <c r="H202" s="153">
        <f>I202+J202+K202+L202</f>
        <v>0</v>
      </c>
      <c r="I202" s="167"/>
      <c r="J202" s="49"/>
      <c r="K202" s="49"/>
      <c r="L202" s="49"/>
      <c r="M202" s="49">
        <f t="shared" si="55"/>
        <v>0</v>
      </c>
      <c r="N202" s="99"/>
      <c r="O202" s="99"/>
      <c r="P202" s="99"/>
      <c r="Q202" s="99"/>
      <c r="R202" s="435"/>
    </row>
    <row r="203" spans="1:18" ht="15" customHeight="1" x14ac:dyDescent="0.2">
      <c r="A203" s="417"/>
      <c r="B203" s="418"/>
      <c r="C203" s="43" t="s">
        <v>39</v>
      </c>
      <c r="D203" s="98"/>
      <c r="E203" s="67"/>
      <c r="F203" s="44"/>
      <c r="G203" s="45"/>
      <c r="H203" s="46">
        <f>I203+J203+K203+L203</f>
        <v>0</v>
      </c>
      <c r="I203" s="167"/>
      <c r="J203" s="49"/>
      <c r="K203" s="49"/>
      <c r="L203" s="49"/>
      <c r="M203" s="49">
        <f t="shared" si="55"/>
        <v>0</v>
      </c>
      <c r="N203" s="99"/>
      <c r="O203" s="99"/>
      <c r="P203" s="99"/>
      <c r="Q203" s="99"/>
      <c r="R203" s="435"/>
    </row>
    <row r="204" spans="1:18" ht="14.25" customHeight="1" x14ac:dyDescent="0.2">
      <c r="A204" s="417"/>
      <c r="B204" s="418"/>
      <c r="C204" s="43" t="s">
        <v>26</v>
      </c>
      <c r="D204" s="44">
        <f t="shared" ref="D204:I204" si="56">SUM(D199:D203)</f>
        <v>120</v>
      </c>
      <c r="E204" s="44">
        <f t="shared" si="56"/>
        <v>12500</v>
      </c>
      <c r="F204" s="44">
        <f t="shared" si="56"/>
        <v>23.8</v>
      </c>
      <c r="G204" s="45">
        <f t="shared" si="56"/>
        <v>5</v>
      </c>
      <c r="H204" s="168">
        <f t="shared" si="56"/>
        <v>98225.77416999999</v>
      </c>
      <c r="I204" s="167">
        <f t="shared" si="56"/>
        <v>1797.28</v>
      </c>
      <c r="J204" s="49">
        <f>SUM(J199:J203)</f>
        <v>4915.2813999999998</v>
      </c>
      <c r="K204" s="49">
        <f>SUM(K199:K203)</f>
        <v>91513.212769999998</v>
      </c>
      <c r="L204" s="49">
        <f>SUM(L199:L203)</f>
        <v>0</v>
      </c>
      <c r="M204" s="49">
        <f t="shared" si="55"/>
        <v>96428.494169999991</v>
      </c>
      <c r="N204" s="99"/>
      <c r="O204" s="99"/>
      <c r="P204" s="99"/>
      <c r="Q204" s="99"/>
      <c r="R204" s="435"/>
    </row>
    <row r="205" spans="1:18" ht="12.75" customHeight="1" x14ac:dyDescent="0.2">
      <c r="A205" s="417">
        <v>24</v>
      </c>
      <c r="B205" s="418" t="s">
        <v>65</v>
      </c>
      <c r="C205" s="43">
        <v>2019</v>
      </c>
      <c r="D205" s="98">
        <v>227</v>
      </c>
      <c r="E205" s="44">
        <v>14828.79</v>
      </c>
      <c r="F205" s="98">
        <v>44.89</v>
      </c>
      <c r="G205" s="57">
        <v>5.52</v>
      </c>
      <c r="H205" s="46">
        <f>I205+J205+K205+L205</f>
        <v>65814.061690000002</v>
      </c>
      <c r="I205" s="74"/>
      <c r="J205" s="48">
        <v>5093.9799999999996</v>
      </c>
      <c r="K205" s="48">
        <v>60720.081689999999</v>
      </c>
      <c r="L205" s="169"/>
      <c r="M205" s="49">
        <f t="shared" si="55"/>
        <v>65814.061690000002</v>
      </c>
      <c r="N205" s="99" t="s">
        <v>28</v>
      </c>
      <c r="O205" s="99" t="s">
        <v>51</v>
      </c>
      <c r="P205" s="99" t="s">
        <v>49</v>
      </c>
      <c r="Q205" s="99" t="s">
        <v>31</v>
      </c>
      <c r="R205" s="435"/>
    </row>
    <row r="206" spans="1:18" ht="12.75" customHeight="1" x14ac:dyDescent="0.2">
      <c r="A206" s="417"/>
      <c r="B206" s="418"/>
      <c r="C206" s="43" t="s">
        <v>24</v>
      </c>
      <c r="D206" s="98"/>
      <c r="E206" s="98"/>
      <c r="F206" s="98"/>
      <c r="G206" s="98"/>
      <c r="H206" s="46">
        <f>I206+J206+K206+L206</f>
        <v>3588.1683100000009</v>
      </c>
      <c r="I206" s="74"/>
      <c r="J206" s="49"/>
      <c r="K206" s="49">
        <f>69402.23-J205-K205</f>
        <v>3588.1683100000009</v>
      </c>
      <c r="L206" s="169"/>
      <c r="M206" s="49">
        <f t="shared" si="55"/>
        <v>3588.1683100000009</v>
      </c>
      <c r="N206" s="99"/>
      <c r="O206" s="99"/>
      <c r="P206" s="99"/>
      <c r="Q206" s="99"/>
      <c r="R206" s="435"/>
    </row>
    <row r="207" spans="1:18" ht="12.75" customHeight="1" x14ac:dyDescent="0.2">
      <c r="A207" s="417"/>
      <c r="B207" s="418"/>
      <c r="C207" s="43">
        <v>2021</v>
      </c>
      <c r="D207" s="98"/>
      <c r="E207" s="98"/>
      <c r="F207" s="98"/>
      <c r="G207" s="98"/>
      <c r="H207" s="46">
        <f>I207+J207+K207+L207</f>
        <v>0</v>
      </c>
      <c r="I207" s="74"/>
      <c r="J207" s="49"/>
      <c r="K207" s="49"/>
      <c r="L207" s="169"/>
      <c r="M207" s="49">
        <f t="shared" si="55"/>
        <v>0</v>
      </c>
      <c r="N207" s="99"/>
      <c r="O207" s="99"/>
      <c r="P207" s="99"/>
      <c r="Q207" s="99"/>
      <c r="R207" s="435"/>
    </row>
    <row r="208" spans="1:18" ht="12.75" customHeight="1" x14ac:dyDescent="0.2">
      <c r="A208" s="417"/>
      <c r="B208" s="418"/>
      <c r="C208" s="43">
        <v>2022</v>
      </c>
      <c r="D208" s="98"/>
      <c r="E208" s="98"/>
      <c r="F208" s="98"/>
      <c r="G208" s="98"/>
      <c r="H208" s="46">
        <f>I208+J208+K208+L208</f>
        <v>0</v>
      </c>
      <c r="I208" s="74"/>
      <c r="J208" s="49"/>
      <c r="K208" s="49"/>
      <c r="L208" s="169"/>
      <c r="M208" s="49">
        <f t="shared" si="55"/>
        <v>0</v>
      </c>
      <c r="N208" s="99"/>
      <c r="O208" s="99"/>
      <c r="P208" s="99"/>
      <c r="Q208" s="99"/>
      <c r="R208" s="435"/>
    </row>
    <row r="209" spans="1:18" ht="12.75" customHeight="1" x14ac:dyDescent="0.2">
      <c r="A209" s="417"/>
      <c r="B209" s="418"/>
      <c r="C209" s="43">
        <v>2023</v>
      </c>
      <c r="D209" s="98"/>
      <c r="E209" s="98"/>
      <c r="F209" s="98"/>
      <c r="G209" s="98"/>
      <c r="H209" s="46">
        <f>I209+J209+K209+L209</f>
        <v>0</v>
      </c>
      <c r="I209" s="74"/>
      <c r="J209" s="49"/>
      <c r="K209" s="49"/>
      <c r="L209" s="169"/>
      <c r="M209" s="49">
        <f t="shared" si="55"/>
        <v>0</v>
      </c>
      <c r="N209" s="99"/>
      <c r="O209" s="99"/>
      <c r="P209" s="99"/>
      <c r="Q209" s="99"/>
      <c r="R209" s="435"/>
    </row>
    <row r="210" spans="1:18" ht="12.75" customHeight="1" x14ac:dyDescent="0.2">
      <c r="A210" s="417"/>
      <c r="B210" s="418"/>
      <c r="C210" s="43" t="s">
        <v>26</v>
      </c>
      <c r="D210" s="60">
        <f>SUM(D205:D209)</f>
        <v>227</v>
      </c>
      <c r="E210" s="60">
        <f t="shared" ref="E210:K210" si="57">SUM(E205:E209)</f>
        <v>14828.79</v>
      </c>
      <c r="F210" s="60">
        <f t="shared" si="57"/>
        <v>44.89</v>
      </c>
      <c r="G210" s="60">
        <f t="shared" si="57"/>
        <v>5.52</v>
      </c>
      <c r="H210" s="60">
        <f>SUM(H205:H209)</f>
        <v>69402.23000000001</v>
      </c>
      <c r="I210" s="61">
        <f t="shared" si="57"/>
        <v>0</v>
      </c>
      <c r="J210" s="40">
        <f>SUM(J205:J209)</f>
        <v>5093.9799999999996</v>
      </c>
      <c r="K210" s="40">
        <f t="shared" si="57"/>
        <v>64308.25</v>
      </c>
      <c r="L210" s="40">
        <f>SUM(L205:L209)</f>
        <v>0</v>
      </c>
      <c r="M210" s="40">
        <f t="shared" si="55"/>
        <v>69402.23</v>
      </c>
      <c r="N210" s="99"/>
      <c r="O210" s="99"/>
      <c r="P210" s="99"/>
      <c r="Q210" s="99"/>
      <c r="R210" s="435"/>
    </row>
    <row r="211" spans="1:18" ht="14.25" customHeight="1" x14ac:dyDescent="0.2">
      <c r="A211" s="429">
        <v>25</v>
      </c>
      <c r="B211" s="432" t="s">
        <v>66</v>
      </c>
      <c r="C211" s="43">
        <v>2019</v>
      </c>
      <c r="D211" s="98"/>
      <c r="E211" s="98"/>
      <c r="F211" s="98"/>
      <c r="G211" s="48"/>
      <c r="H211" s="74">
        <f>I211+J211+K211+L211</f>
        <v>0</v>
      </c>
      <c r="I211" s="46"/>
      <c r="J211" s="49"/>
      <c r="K211" s="49"/>
      <c r="L211" s="49"/>
      <c r="M211" s="49">
        <f t="shared" si="55"/>
        <v>0</v>
      </c>
      <c r="N211" s="99"/>
      <c r="O211" s="99"/>
      <c r="P211" s="99"/>
      <c r="Q211" s="99"/>
      <c r="R211" s="435"/>
    </row>
    <row r="212" spans="1:18" ht="14.25" customHeight="1" x14ac:dyDescent="0.2">
      <c r="A212" s="430"/>
      <c r="B212" s="433"/>
      <c r="C212" s="43">
        <v>2020</v>
      </c>
      <c r="D212" s="98"/>
      <c r="E212" s="98"/>
      <c r="F212" s="98"/>
      <c r="G212" s="48"/>
      <c r="H212" s="74">
        <f>I212+J212+K212+L212</f>
        <v>0</v>
      </c>
      <c r="I212" s="46"/>
      <c r="J212" s="49"/>
      <c r="K212" s="49"/>
      <c r="L212" s="49"/>
      <c r="M212" s="49">
        <f t="shared" si="55"/>
        <v>0</v>
      </c>
      <c r="N212" s="99"/>
      <c r="O212" s="99"/>
      <c r="P212" s="99"/>
      <c r="Q212" s="99"/>
      <c r="R212" s="435"/>
    </row>
    <row r="213" spans="1:18" ht="14.25" customHeight="1" x14ac:dyDescent="0.2">
      <c r="A213" s="430"/>
      <c r="B213" s="433"/>
      <c r="C213" s="43">
        <v>2021</v>
      </c>
      <c r="D213" s="98"/>
      <c r="E213" s="98"/>
      <c r="F213" s="98"/>
      <c r="G213" s="48"/>
      <c r="H213" s="74">
        <f>I213+J213+K213+L213</f>
        <v>0</v>
      </c>
      <c r="I213" s="46"/>
      <c r="J213" s="49"/>
      <c r="K213" s="49"/>
      <c r="L213" s="49"/>
      <c r="M213" s="49">
        <f t="shared" si="55"/>
        <v>0</v>
      </c>
      <c r="N213" s="99"/>
      <c r="O213" s="99"/>
      <c r="P213" s="99"/>
      <c r="Q213" s="99"/>
      <c r="R213" s="435"/>
    </row>
    <row r="214" spans="1:18" ht="14.25" customHeight="1" x14ac:dyDescent="0.2">
      <c r="A214" s="430"/>
      <c r="B214" s="433"/>
      <c r="C214" s="43">
        <v>2022</v>
      </c>
      <c r="D214" s="98">
        <v>350</v>
      </c>
      <c r="E214" s="57">
        <v>490.79329999999999</v>
      </c>
      <c r="F214" s="98">
        <v>2.77</v>
      </c>
      <c r="G214" s="48">
        <f>4.3+2.5+1.1+3.6</f>
        <v>11.5</v>
      </c>
      <c r="H214" s="74">
        <f>I214+J214+K214+L214</f>
        <v>12000</v>
      </c>
      <c r="I214" s="46"/>
      <c r="J214" s="49">
        <v>12000</v>
      </c>
      <c r="K214" s="49"/>
      <c r="L214" s="49"/>
      <c r="M214" s="49">
        <f t="shared" si="55"/>
        <v>12000</v>
      </c>
      <c r="N214" s="99" t="s">
        <v>28</v>
      </c>
      <c r="O214" s="99" t="s">
        <v>31</v>
      </c>
      <c r="P214" s="99"/>
      <c r="Q214" s="99"/>
      <c r="R214" s="435"/>
    </row>
    <row r="215" spans="1:18" ht="14.25" customHeight="1" x14ac:dyDescent="0.2">
      <c r="A215" s="430"/>
      <c r="B215" s="433"/>
      <c r="C215" s="43">
        <v>2023</v>
      </c>
      <c r="D215" s="98"/>
      <c r="E215" s="57"/>
      <c r="F215" s="98"/>
      <c r="G215" s="48"/>
      <c r="H215" s="74">
        <f>I215+J215+K215+L215</f>
        <v>28750</v>
      </c>
      <c r="I215" s="46"/>
      <c r="J215" s="49"/>
      <c r="K215" s="49">
        <v>28750</v>
      </c>
      <c r="L215" s="49"/>
      <c r="M215" s="49">
        <f t="shared" si="55"/>
        <v>28750</v>
      </c>
      <c r="N215" s="99"/>
      <c r="O215" s="99"/>
      <c r="P215" s="99" t="s">
        <v>28</v>
      </c>
      <c r="Q215" s="99" t="s">
        <v>31</v>
      </c>
      <c r="R215" s="435"/>
    </row>
    <row r="216" spans="1:18" ht="14.25" customHeight="1" x14ac:dyDescent="0.2">
      <c r="A216" s="431"/>
      <c r="B216" s="434"/>
      <c r="C216" s="43" t="s">
        <v>26</v>
      </c>
      <c r="D216" s="60">
        <f t="shared" ref="D216:L216" si="58">SUM(D211:D215)</f>
        <v>350</v>
      </c>
      <c r="E216" s="60">
        <f t="shared" si="58"/>
        <v>490.79329999999999</v>
      </c>
      <c r="F216" s="60">
        <f t="shared" si="58"/>
        <v>2.77</v>
      </c>
      <c r="G216" s="60">
        <f t="shared" si="58"/>
        <v>11.5</v>
      </c>
      <c r="H216" s="62">
        <f t="shared" si="58"/>
        <v>40750</v>
      </c>
      <c r="I216" s="62">
        <f t="shared" si="58"/>
        <v>0</v>
      </c>
      <c r="J216" s="40">
        <f t="shared" si="58"/>
        <v>12000</v>
      </c>
      <c r="K216" s="40">
        <f t="shared" si="58"/>
        <v>28750</v>
      </c>
      <c r="L216" s="40">
        <f t="shared" si="58"/>
        <v>0</v>
      </c>
      <c r="M216" s="40">
        <f t="shared" si="55"/>
        <v>40750</v>
      </c>
      <c r="N216" s="99"/>
      <c r="O216" s="99"/>
      <c r="P216" s="99"/>
      <c r="Q216" s="99"/>
      <c r="R216" s="435"/>
    </row>
    <row r="217" spans="1:18" ht="12.75" customHeight="1" x14ac:dyDescent="0.2">
      <c r="A217" s="429">
        <v>26</v>
      </c>
      <c r="B217" s="432" t="s">
        <v>164</v>
      </c>
      <c r="C217" s="43">
        <v>2019</v>
      </c>
      <c r="D217" s="98"/>
      <c r="E217" s="98"/>
      <c r="F217" s="98"/>
      <c r="G217" s="48"/>
      <c r="H217" s="46">
        <f>I217+J217+K217+L217</f>
        <v>0</v>
      </c>
      <c r="I217" s="46"/>
      <c r="J217" s="49"/>
      <c r="K217" s="49"/>
      <c r="L217" s="49"/>
      <c r="M217" s="49">
        <f t="shared" si="55"/>
        <v>0</v>
      </c>
      <c r="N217" s="99"/>
      <c r="O217" s="99"/>
      <c r="P217" s="99"/>
      <c r="Q217" s="99"/>
      <c r="R217" s="435"/>
    </row>
    <row r="218" spans="1:18" x14ac:dyDescent="0.2">
      <c r="A218" s="430"/>
      <c r="B218" s="433"/>
      <c r="C218" s="43">
        <v>2020</v>
      </c>
      <c r="D218" s="98"/>
      <c r="E218" s="98"/>
      <c r="F218" s="98"/>
      <c r="G218" s="48"/>
      <c r="H218" s="46">
        <f>I218+J218+K218+L218</f>
        <v>0</v>
      </c>
      <c r="I218" s="46"/>
      <c r="J218" s="49"/>
      <c r="K218" s="49"/>
      <c r="L218" s="49"/>
      <c r="M218" s="49">
        <f t="shared" si="55"/>
        <v>0</v>
      </c>
      <c r="N218" s="99"/>
      <c r="O218" s="99"/>
      <c r="P218" s="99"/>
      <c r="Q218" s="99"/>
      <c r="R218" s="435"/>
    </row>
    <row r="219" spans="1:18" x14ac:dyDescent="0.2">
      <c r="A219" s="430"/>
      <c r="B219" s="433"/>
      <c r="C219" s="43">
        <v>2021</v>
      </c>
      <c r="D219" s="98"/>
      <c r="E219" s="98"/>
      <c r="F219" s="98"/>
      <c r="G219" s="48"/>
      <c r="H219" s="46">
        <f>I219+J219+K219+L219</f>
        <v>0</v>
      </c>
      <c r="I219" s="46"/>
      <c r="J219" s="49"/>
      <c r="K219" s="49"/>
      <c r="L219" s="49"/>
      <c r="M219" s="49">
        <f t="shared" si="55"/>
        <v>0</v>
      </c>
      <c r="N219" s="99"/>
      <c r="O219" s="99"/>
      <c r="P219" s="99"/>
      <c r="Q219" s="99"/>
      <c r="R219" s="435"/>
    </row>
    <row r="220" spans="1:18" x14ac:dyDescent="0.2">
      <c r="A220" s="430"/>
      <c r="B220" s="433"/>
      <c r="C220" s="43">
        <v>2022</v>
      </c>
      <c r="D220" s="98"/>
      <c r="E220" s="98"/>
      <c r="F220" s="98"/>
      <c r="G220" s="48"/>
      <c r="H220" s="46">
        <f>I220+J220+K220+L220</f>
        <v>0</v>
      </c>
      <c r="I220" s="46"/>
      <c r="J220" s="49"/>
      <c r="K220" s="49"/>
      <c r="L220" s="49"/>
      <c r="M220" s="49">
        <f t="shared" si="55"/>
        <v>0</v>
      </c>
      <c r="N220" s="99"/>
      <c r="O220" s="99"/>
      <c r="P220" s="99"/>
      <c r="Q220" s="99"/>
      <c r="R220" s="435"/>
    </row>
    <row r="221" spans="1:18" x14ac:dyDescent="0.2">
      <c r="A221" s="430"/>
      <c r="B221" s="433"/>
      <c r="C221" s="43">
        <v>2023</v>
      </c>
      <c r="D221" s="98">
        <v>150</v>
      </c>
      <c r="E221" s="98">
        <v>208.57</v>
      </c>
      <c r="F221" s="98">
        <v>0.42</v>
      </c>
      <c r="G221" s="48">
        <v>8.5</v>
      </c>
      <c r="H221" s="46">
        <f>I221+J221+K221+L221</f>
        <v>28560.9</v>
      </c>
      <c r="I221" s="46"/>
      <c r="J221" s="49">
        <v>8200</v>
      </c>
      <c r="K221" s="49">
        <f>9266.9+11094</f>
        <v>20360.900000000001</v>
      </c>
      <c r="L221" s="49"/>
      <c r="M221" s="49">
        <f t="shared" si="55"/>
        <v>28560.9</v>
      </c>
      <c r="N221" s="99" t="s">
        <v>28</v>
      </c>
      <c r="O221" s="99" t="s">
        <v>49</v>
      </c>
      <c r="P221" s="99" t="s">
        <v>51</v>
      </c>
      <c r="Q221" s="99" t="s">
        <v>31</v>
      </c>
      <c r="R221" s="435"/>
    </row>
    <row r="222" spans="1:18" ht="18.75" customHeight="1" x14ac:dyDescent="0.2">
      <c r="A222" s="431"/>
      <c r="B222" s="434"/>
      <c r="C222" s="43" t="s">
        <v>26</v>
      </c>
      <c r="D222" s="60">
        <f t="shared" ref="D222:L222" si="59">SUM(D217:D221)</f>
        <v>150</v>
      </c>
      <c r="E222" s="60">
        <f t="shared" si="59"/>
        <v>208.57</v>
      </c>
      <c r="F222" s="60">
        <f t="shared" si="59"/>
        <v>0.42</v>
      </c>
      <c r="G222" s="60">
        <f t="shared" si="59"/>
        <v>8.5</v>
      </c>
      <c r="H222" s="170">
        <f t="shared" si="59"/>
        <v>28560.9</v>
      </c>
      <c r="I222" s="170">
        <f t="shared" si="59"/>
        <v>0</v>
      </c>
      <c r="J222" s="40">
        <f t="shared" si="59"/>
        <v>8200</v>
      </c>
      <c r="K222" s="40">
        <f t="shared" si="59"/>
        <v>20360.900000000001</v>
      </c>
      <c r="L222" s="40">
        <f t="shared" si="59"/>
        <v>0</v>
      </c>
      <c r="M222" s="40">
        <f t="shared" si="55"/>
        <v>28560.9</v>
      </c>
      <c r="N222" s="99"/>
      <c r="O222" s="99"/>
      <c r="P222" s="99"/>
      <c r="Q222" s="99"/>
      <c r="R222" s="435"/>
    </row>
    <row r="223" spans="1:18" x14ac:dyDescent="0.2">
      <c r="A223" s="417">
        <v>27</v>
      </c>
      <c r="B223" s="432" t="s">
        <v>67</v>
      </c>
      <c r="C223" s="43">
        <v>2019</v>
      </c>
      <c r="D223" s="98"/>
      <c r="E223" s="98"/>
      <c r="F223" s="98"/>
      <c r="G223" s="48"/>
      <c r="H223" s="46">
        <f>I223+J223+K223+L223</f>
        <v>0</v>
      </c>
      <c r="I223" s="46"/>
      <c r="J223" s="49"/>
      <c r="K223" s="49"/>
      <c r="L223" s="49"/>
      <c r="M223" s="49">
        <f t="shared" si="55"/>
        <v>0</v>
      </c>
      <c r="N223" s="99"/>
      <c r="O223" s="99"/>
      <c r="P223" s="99"/>
      <c r="Q223" s="99"/>
      <c r="R223" s="422"/>
    </row>
    <row r="224" spans="1:18" x14ac:dyDescent="0.2">
      <c r="A224" s="417"/>
      <c r="B224" s="433"/>
      <c r="C224" s="43">
        <v>2020</v>
      </c>
      <c r="D224" s="98"/>
      <c r="E224" s="98"/>
      <c r="F224" s="98"/>
      <c r="G224" s="48"/>
      <c r="H224" s="46">
        <f>I224+J224+K224+L224</f>
        <v>0</v>
      </c>
      <c r="I224" s="46"/>
      <c r="J224" s="49"/>
      <c r="K224" s="49"/>
      <c r="L224" s="49"/>
      <c r="M224" s="49">
        <f t="shared" si="55"/>
        <v>0</v>
      </c>
      <c r="N224" s="99"/>
      <c r="O224" s="99"/>
      <c r="P224" s="99"/>
      <c r="Q224" s="99"/>
      <c r="R224" s="422"/>
    </row>
    <row r="225" spans="1:18" x14ac:dyDescent="0.2">
      <c r="A225" s="417"/>
      <c r="B225" s="433"/>
      <c r="C225" s="43">
        <v>2021</v>
      </c>
      <c r="D225" s="98"/>
      <c r="E225" s="57"/>
      <c r="F225" s="98"/>
      <c r="G225" s="48"/>
      <c r="H225" s="46">
        <f>I225+J225+K225+L225</f>
        <v>0</v>
      </c>
      <c r="I225" s="46"/>
      <c r="J225" s="49"/>
      <c r="K225" s="49"/>
      <c r="L225" s="49"/>
      <c r="M225" s="49">
        <f t="shared" si="55"/>
        <v>0</v>
      </c>
      <c r="N225" s="99"/>
      <c r="O225" s="99"/>
      <c r="P225" s="99"/>
      <c r="Q225" s="99"/>
      <c r="R225" s="422"/>
    </row>
    <row r="226" spans="1:18" x14ac:dyDescent="0.2">
      <c r="A226" s="417"/>
      <c r="B226" s="433"/>
      <c r="C226" s="43">
        <v>2022</v>
      </c>
      <c r="D226" s="98">
        <v>268</v>
      </c>
      <c r="E226" s="57">
        <v>375.80700000000002</v>
      </c>
      <c r="F226" s="98">
        <v>0.88</v>
      </c>
      <c r="G226" s="48">
        <v>3.62</v>
      </c>
      <c r="H226" s="46">
        <f>I226+J226+K226+L226</f>
        <v>3500</v>
      </c>
      <c r="I226" s="46"/>
      <c r="J226" s="49">
        <v>3500</v>
      </c>
      <c r="K226" s="49"/>
      <c r="L226" s="49"/>
      <c r="M226" s="49">
        <f t="shared" si="55"/>
        <v>3500</v>
      </c>
      <c r="N226" s="99" t="s">
        <v>28</v>
      </c>
      <c r="O226" s="99" t="s">
        <v>31</v>
      </c>
      <c r="P226" s="99"/>
      <c r="Q226" s="99"/>
      <c r="R226" s="422"/>
    </row>
    <row r="227" spans="1:18" x14ac:dyDescent="0.2">
      <c r="A227" s="417"/>
      <c r="B227" s="433"/>
      <c r="C227" s="43">
        <v>2023</v>
      </c>
      <c r="D227" s="98"/>
      <c r="E227" s="98"/>
      <c r="F227" s="98"/>
      <c r="G227" s="48"/>
      <c r="H227" s="46">
        <f>I227+J227+K227+L227</f>
        <v>15000</v>
      </c>
      <c r="I227" s="46"/>
      <c r="J227" s="49"/>
      <c r="K227" s="49">
        <v>15000</v>
      </c>
      <c r="L227" s="49"/>
      <c r="M227" s="49">
        <f t="shared" si="55"/>
        <v>15000</v>
      </c>
      <c r="N227" s="99"/>
      <c r="O227" s="99"/>
      <c r="P227" s="99" t="s">
        <v>28</v>
      </c>
      <c r="Q227" s="99" t="s">
        <v>54</v>
      </c>
      <c r="R227" s="422"/>
    </row>
    <row r="228" spans="1:18" x14ac:dyDescent="0.2">
      <c r="A228" s="417"/>
      <c r="B228" s="434"/>
      <c r="C228" s="43" t="s">
        <v>26</v>
      </c>
      <c r="D228" s="60">
        <f t="shared" ref="D228:L228" si="60">SUM(D223:D227)</f>
        <v>268</v>
      </c>
      <c r="E228" s="60">
        <f t="shared" si="60"/>
        <v>375.80700000000002</v>
      </c>
      <c r="F228" s="60">
        <f t="shared" si="60"/>
        <v>0.88</v>
      </c>
      <c r="G228" s="60">
        <f t="shared" si="60"/>
        <v>3.62</v>
      </c>
      <c r="H228" s="60">
        <f t="shared" si="60"/>
        <v>18500</v>
      </c>
      <c r="I228" s="62">
        <f t="shared" si="60"/>
        <v>0</v>
      </c>
      <c r="J228" s="40">
        <f t="shared" si="60"/>
        <v>3500</v>
      </c>
      <c r="K228" s="40">
        <f t="shared" si="60"/>
        <v>15000</v>
      </c>
      <c r="L228" s="40">
        <f t="shared" si="60"/>
        <v>0</v>
      </c>
      <c r="M228" s="40">
        <f t="shared" si="55"/>
        <v>18500</v>
      </c>
      <c r="N228" s="99"/>
      <c r="O228" s="99"/>
      <c r="P228" s="99"/>
      <c r="Q228" s="99"/>
      <c r="R228" s="422"/>
    </row>
    <row r="229" spans="1:18" x14ac:dyDescent="0.2">
      <c r="A229" s="417">
        <v>28</v>
      </c>
      <c r="B229" s="432" t="s">
        <v>74</v>
      </c>
      <c r="C229" s="43">
        <v>2019</v>
      </c>
      <c r="D229" s="98"/>
      <c r="E229" s="98"/>
      <c r="F229" s="98"/>
      <c r="G229" s="48"/>
      <c r="H229" s="46">
        <f>I229+J229+K229+L229</f>
        <v>0</v>
      </c>
      <c r="I229" s="46"/>
      <c r="J229" s="49"/>
      <c r="K229" s="49"/>
      <c r="L229" s="49"/>
      <c r="M229" s="49">
        <f t="shared" si="55"/>
        <v>0</v>
      </c>
      <c r="N229" s="99"/>
      <c r="O229" s="99"/>
      <c r="P229" s="99"/>
      <c r="Q229" s="99"/>
      <c r="R229" s="422"/>
    </row>
    <row r="230" spans="1:18" x14ac:dyDescent="0.2">
      <c r="A230" s="417"/>
      <c r="B230" s="433"/>
      <c r="C230" s="43">
        <v>2020</v>
      </c>
      <c r="D230" s="98"/>
      <c r="E230" s="98"/>
      <c r="F230" s="98"/>
      <c r="G230" s="48"/>
      <c r="H230" s="46">
        <f>I230+J230+K230+L230</f>
        <v>0</v>
      </c>
      <c r="I230" s="46"/>
      <c r="J230" s="49"/>
      <c r="K230" s="49"/>
      <c r="L230" s="49"/>
      <c r="M230" s="49">
        <f t="shared" si="55"/>
        <v>0</v>
      </c>
      <c r="N230" s="99"/>
      <c r="O230" s="99"/>
      <c r="P230" s="99"/>
      <c r="Q230" s="99"/>
      <c r="R230" s="422"/>
    </row>
    <row r="231" spans="1:18" x14ac:dyDescent="0.2">
      <c r="A231" s="417"/>
      <c r="B231" s="433"/>
      <c r="C231" s="43">
        <v>2021</v>
      </c>
      <c r="D231" s="98"/>
      <c r="E231" s="98"/>
      <c r="F231" s="98"/>
      <c r="G231" s="48"/>
      <c r="H231" s="46">
        <f>I231+J231+K231+L231</f>
        <v>0</v>
      </c>
      <c r="I231" s="46"/>
      <c r="J231" s="49"/>
      <c r="K231" s="49"/>
      <c r="L231" s="49"/>
      <c r="M231" s="49">
        <f t="shared" si="55"/>
        <v>0</v>
      </c>
      <c r="N231" s="99"/>
      <c r="O231" s="99"/>
      <c r="P231" s="99"/>
      <c r="Q231" s="99"/>
      <c r="R231" s="422"/>
    </row>
    <row r="232" spans="1:18" x14ac:dyDescent="0.2">
      <c r="A232" s="417"/>
      <c r="B232" s="433"/>
      <c r="C232" s="43">
        <v>2022</v>
      </c>
      <c r="D232" s="98">
        <v>224</v>
      </c>
      <c r="E232" s="98">
        <v>314.05</v>
      </c>
      <c r="F232" s="98">
        <v>0.74</v>
      </c>
      <c r="G232" s="48">
        <v>2.5</v>
      </c>
      <c r="H232" s="46">
        <f>I232+J232+K232+L232</f>
        <v>3000</v>
      </c>
      <c r="I232" s="46"/>
      <c r="J232" s="49">
        <v>3000</v>
      </c>
      <c r="K232" s="49"/>
      <c r="L232" s="49"/>
      <c r="M232" s="49">
        <f t="shared" si="55"/>
        <v>3000</v>
      </c>
      <c r="N232" s="99" t="s">
        <v>28</v>
      </c>
      <c r="O232" s="99" t="s">
        <v>31</v>
      </c>
      <c r="P232" s="99"/>
      <c r="Q232" s="99"/>
      <c r="R232" s="422"/>
    </row>
    <row r="233" spans="1:18" x14ac:dyDescent="0.2">
      <c r="A233" s="417"/>
      <c r="B233" s="433"/>
      <c r="C233" s="43">
        <v>2023</v>
      </c>
      <c r="D233" s="98"/>
      <c r="E233" s="98"/>
      <c r="F233" s="98"/>
      <c r="G233" s="48"/>
      <c r="H233" s="46">
        <f>I233+J233+K233+L233</f>
        <v>6250</v>
      </c>
      <c r="I233" s="46"/>
      <c r="J233" s="49"/>
      <c r="K233" s="49">
        <v>6250</v>
      </c>
      <c r="L233" s="49"/>
      <c r="M233" s="49">
        <f t="shared" si="55"/>
        <v>6250</v>
      </c>
      <c r="N233" s="99"/>
      <c r="O233" s="99"/>
      <c r="P233" s="99" t="s">
        <v>28</v>
      </c>
      <c r="Q233" s="99" t="s">
        <v>54</v>
      </c>
      <c r="R233" s="422"/>
    </row>
    <row r="234" spans="1:18" x14ac:dyDescent="0.2">
      <c r="A234" s="417"/>
      <c r="B234" s="434"/>
      <c r="C234" s="43" t="s">
        <v>26</v>
      </c>
      <c r="D234" s="60">
        <f t="shared" ref="D234:L234" si="61">SUM(D229:D233)</f>
        <v>224</v>
      </c>
      <c r="E234" s="60">
        <f t="shared" si="61"/>
        <v>314.05</v>
      </c>
      <c r="F234" s="60">
        <f t="shared" si="61"/>
        <v>0.74</v>
      </c>
      <c r="G234" s="60">
        <f t="shared" si="61"/>
        <v>2.5</v>
      </c>
      <c r="H234" s="60">
        <f t="shared" si="61"/>
        <v>9250</v>
      </c>
      <c r="I234" s="62">
        <f t="shared" si="61"/>
        <v>0</v>
      </c>
      <c r="J234" s="40">
        <f t="shared" si="61"/>
        <v>3000</v>
      </c>
      <c r="K234" s="40">
        <f t="shared" si="61"/>
        <v>6250</v>
      </c>
      <c r="L234" s="40">
        <f t="shared" si="61"/>
        <v>0</v>
      </c>
      <c r="M234" s="40">
        <f t="shared" si="55"/>
        <v>9250</v>
      </c>
      <c r="N234" s="99"/>
      <c r="O234" s="99"/>
      <c r="P234" s="99"/>
      <c r="Q234" s="99"/>
      <c r="R234" s="422"/>
    </row>
    <row r="235" spans="1:18" x14ac:dyDescent="0.2">
      <c r="A235" s="417">
        <v>29</v>
      </c>
      <c r="B235" s="432" t="s">
        <v>91</v>
      </c>
      <c r="C235" s="43">
        <v>2019</v>
      </c>
      <c r="D235" s="98">
        <v>218</v>
      </c>
      <c r="E235" s="98">
        <v>687.9</v>
      </c>
      <c r="F235" s="98">
        <v>2.0099999999999998</v>
      </c>
      <c r="G235" s="48">
        <v>7.83</v>
      </c>
      <c r="H235" s="46">
        <f>I235+J235+K235+L235</f>
        <v>4795.5683600000002</v>
      </c>
      <c r="I235" s="46"/>
      <c r="J235" s="49">
        <v>2223.4183600000001</v>
      </c>
      <c r="K235" s="49">
        <v>2572.15</v>
      </c>
      <c r="L235" s="49"/>
      <c r="M235" s="49">
        <f t="shared" si="55"/>
        <v>4795.5683600000002</v>
      </c>
      <c r="N235" s="99" t="s">
        <v>71</v>
      </c>
      <c r="O235" s="99" t="s">
        <v>53</v>
      </c>
      <c r="P235" s="99" t="s">
        <v>57</v>
      </c>
      <c r="Q235" s="99"/>
      <c r="R235" s="435" t="s">
        <v>101</v>
      </c>
    </row>
    <row r="236" spans="1:18" x14ac:dyDescent="0.2">
      <c r="A236" s="417"/>
      <c r="B236" s="433"/>
      <c r="C236" s="43">
        <v>2020</v>
      </c>
      <c r="D236" s="98"/>
      <c r="E236" s="98"/>
      <c r="F236" s="98"/>
      <c r="G236" s="48"/>
      <c r="H236" s="46">
        <f>I236+J236+K236+L236</f>
        <v>18150.261640000001</v>
      </c>
      <c r="I236" s="46"/>
      <c r="J236" s="49"/>
      <c r="K236" s="49">
        <f>22545.83-J235-K235+400</f>
        <v>18150.261640000001</v>
      </c>
      <c r="L236" s="49"/>
      <c r="M236" s="49">
        <f t="shared" si="55"/>
        <v>18150.261640000001</v>
      </c>
      <c r="N236" s="99"/>
      <c r="O236" s="99"/>
      <c r="P236" s="99"/>
      <c r="Q236" s="99" t="s">
        <v>48</v>
      </c>
      <c r="R236" s="435"/>
    </row>
    <row r="237" spans="1:18" x14ac:dyDescent="0.2">
      <c r="A237" s="417"/>
      <c r="B237" s="433"/>
      <c r="C237" s="43">
        <v>2021</v>
      </c>
      <c r="D237" s="98"/>
      <c r="E237" s="98"/>
      <c r="F237" s="98"/>
      <c r="G237" s="48"/>
      <c r="H237" s="46">
        <f>I237+J237+K237+L237</f>
        <v>0</v>
      </c>
      <c r="I237" s="46"/>
      <c r="J237" s="49"/>
      <c r="K237" s="49"/>
      <c r="L237" s="49"/>
      <c r="M237" s="49">
        <f t="shared" si="55"/>
        <v>0</v>
      </c>
      <c r="N237" s="99"/>
      <c r="O237" s="99"/>
      <c r="P237" s="99"/>
      <c r="Q237" s="99"/>
      <c r="R237" s="435"/>
    </row>
    <row r="238" spans="1:18" x14ac:dyDescent="0.2">
      <c r="A238" s="417"/>
      <c r="B238" s="433"/>
      <c r="C238" s="43">
        <v>2022</v>
      </c>
      <c r="D238" s="98"/>
      <c r="E238" s="98"/>
      <c r="F238" s="98"/>
      <c r="G238" s="48"/>
      <c r="H238" s="46">
        <f>I238+J238+K238+L238</f>
        <v>0</v>
      </c>
      <c r="I238" s="46"/>
      <c r="J238" s="49">
        <f>G238*1800</f>
        <v>0</v>
      </c>
      <c r="K238" s="49">
        <v>0</v>
      </c>
      <c r="L238" s="49"/>
      <c r="M238" s="49">
        <f t="shared" si="55"/>
        <v>0</v>
      </c>
      <c r="N238" s="99"/>
      <c r="O238" s="99"/>
      <c r="P238" s="99"/>
      <c r="Q238" s="99"/>
      <c r="R238" s="435"/>
    </row>
    <row r="239" spans="1:18" x14ac:dyDescent="0.2">
      <c r="A239" s="417"/>
      <c r="B239" s="433"/>
      <c r="C239" s="43">
        <v>2023</v>
      </c>
      <c r="D239" s="98"/>
      <c r="E239" s="98"/>
      <c r="F239" s="98"/>
      <c r="G239" s="48"/>
      <c r="H239" s="46">
        <f>I239+J239+K239+L239</f>
        <v>0</v>
      </c>
      <c r="I239" s="46"/>
      <c r="J239" s="49"/>
      <c r="K239" s="49"/>
      <c r="L239" s="49"/>
      <c r="M239" s="49">
        <f t="shared" si="55"/>
        <v>0</v>
      </c>
      <c r="N239" s="99"/>
      <c r="O239" s="99"/>
      <c r="P239" s="99"/>
      <c r="Q239" s="99"/>
      <c r="R239" s="435"/>
    </row>
    <row r="240" spans="1:18" x14ac:dyDescent="0.2">
      <c r="A240" s="417"/>
      <c r="B240" s="434"/>
      <c r="C240" s="43" t="s">
        <v>26</v>
      </c>
      <c r="D240" s="60">
        <f t="shared" ref="D240:L240" si="62">SUM(D235:D239)</f>
        <v>218</v>
      </c>
      <c r="E240" s="60">
        <f t="shared" si="62"/>
        <v>687.9</v>
      </c>
      <c r="F240" s="60">
        <f t="shared" si="62"/>
        <v>2.0099999999999998</v>
      </c>
      <c r="G240" s="60">
        <f t="shared" si="62"/>
        <v>7.83</v>
      </c>
      <c r="H240" s="60">
        <f t="shared" si="62"/>
        <v>22945.83</v>
      </c>
      <c r="I240" s="62">
        <f t="shared" si="62"/>
        <v>0</v>
      </c>
      <c r="J240" s="40">
        <f t="shared" si="62"/>
        <v>2223.4183600000001</v>
      </c>
      <c r="K240" s="40">
        <f t="shared" si="62"/>
        <v>20722.411640000002</v>
      </c>
      <c r="L240" s="40">
        <f t="shared" si="62"/>
        <v>0</v>
      </c>
      <c r="M240" s="40">
        <f t="shared" si="55"/>
        <v>22945.83</v>
      </c>
      <c r="N240" s="99"/>
      <c r="O240" s="99"/>
      <c r="P240" s="99"/>
      <c r="Q240" s="99"/>
      <c r="R240" s="435"/>
    </row>
    <row r="241" spans="1:18" x14ac:dyDescent="0.2">
      <c r="A241" s="426" t="s">
        <v>29</v>
      </c>
      <c r="B241" s="426"/>
      <c r="C241" s="43">
        <v>2019</v>
      </c>
      <c r="D241" s="60">
        <f>D199+D205+D211+D217+D223+D229+D235</f>
        <v>565</v>
      </c>
      <c r="E241" s="60">
        <f t="shared" ref="E241:M245" si="63">E199+E205+E211+E217+E223+E229+E235</f>
        <v>28016.690000000002</v>
      </c>
      <c r="F241" s="60">
        <f t="shared" si="63"/>
        <v>70.7</v>
      </c>
      <c r="G241" s="60">
        <f t="shared" si="63"/>
        <v>18.350000000000001</v>
      </c>
      <c r="H241" s="60">
        <f t="shared" si="63"/>
        <v>106456.14397</v>
      </c>
      <c r="I241" s="60">
        <f t="shared" si="63"/>
        <v>1797.28</v>
      </c>
      <c r="J241" s="60">
        <f t="shared" si="63"/>
        <v>12232.679759999999</v>
      </c>
      <c r="K241" s="60">
        <f t="shared" si="63"/>
        <v>92426.184209999992</v>
      </c>
      <c r="L241" s="60">
        <f t="shared" si="63"/>
        <v>0</v>
      </c>
      <c r="M241" s="60">
        <f t="shared" si="63"/>
        <v>104658.86397000001</v>
      </c>
      <c r="N241" s="99"/>
      <c r="O241" s="99"/>
      <c r="P241" s="99"/>
      <c r="Q241" s="99"/>
      <c r="R241" s="422"/>
    </row>
    <row r="242" spans="1:18" x14ac:dyDescent="0.2">
      <c r="A242" s="426"/>
      <c r="B242" s="426"/>
      <c r="C242" s="43" t="s">
        <v>24</v>
      </c>
      <c r="D242" s="60">
        <f>D200+D206+D212+D218+D224+D230+D236</f>
        <v>0</v>
      </c>
      <c r="E242" s="60">
        <f t="shared" si="63"/>
        <v>0</v>
      </c>
      <c r="F242" s="60">
        <f t="shared" si="63"/>
        <v>0</v>
      </c>
      <c r="G242" s="60">
        <f t="shared" si="63"/>
        <v>0</v>
      </c>
      <c r="H242" s="60">
        <f t="shared" si="63"/>
        <v>84117.690199999997</v>
      </c>
      <c r="I242" s="60">
        <f t="shared" si="63"/>
        <v>0</v>
      </c>
      <c r="J242" s="60">
        <f t="shared" si="63"/>
        <v>0</v>
      </c>
      <c r="K242" s="60">
        <f t="shared" si="63"/>
        <v>84117.690199999997</v>
      </c>
      <c r="L242" s="60">
        <f t="shared" si="63"/>
        <v>0</v>
      </c>
      <c r="M242" s="60">
        <f t="shared" si="63"/>
        <v>84117.690199999997</v>
      </c>
      <c r="N242" s="99"/>
      <c r="O242" s="99"/>
      <c r="P242" s="99"/>
      <c r="Q242" s="99"/>
      <c r="R242" s="422"/>
    </row>
    <row r="243" spans="1:18" x14ac:dyDescent="0.2">
      <c r="A243" s="426"/>
      <c r="B243" s="426"/>
      <c r="C243" s="43" t="s">
        <v>25</v>
      </c>
      <c r="D243" s="60">
        <f>D201+D207+D213+D219+D225+D231+D237</f>
        <v>0</v>
      </c>
      <c r="E243" s="60">
        <f t="shared" si="63"/>
        <v>0</v>
      </c>
      <c r="F243" s="60">
        <f t="shared" si="63"/>
        <v>0</v>
      </c>
      <c r="G243" s="60">
        <f t="shared" si="63"/>
        <v>0</v>
      </c>
      <c r="H243" s="60">
        <f t="shared" si="63"/>
        <v>0</v>
      </c>
      <c r="I243" s="60">
        <f t="shared" si="63"/>
        <v>0</v>
      </c>
      <c r="J243" s="60">
        <f t="shared" si="63"/>
        <v>0</v>
      </c>
      <c r="K243" s="60">
        <f t="shared" si="63"/>
        <v>0</v>
      </c>
      <c r="L243" s="60">
        <f t="shared" si="63"/>
        <v>0</v>
      </c>
      <c r="M243" s="60">
        <f t="shared" si="63"/>
        <v>0</v>
      </c>
      <c r="N243" s="99"/>
      <c r="O243" s="99"/>
      <c r="P243" s="99"/>
      <c r="Q243" s="99"/>
      <c r="R243" s="422"/>
    </row>
    <row r="244" spans="1:18" x14ac:dyDescent="0.2">
      <c r="A244" s="426"/>
      <c r="B244" s="426"/>
      <c r="C244" s="43" t="s">
        <v>38</v>
      </c>
      <c r="D244" s="60">
        <f>D202+D208+D214+D220+D226+D232+D238</f>
        <v>842</v>
      </c>
      <c r="E244" s="60">
        <f t="shared" si="63"/>
        <v>1180.6503</v>
      </c>
      <c r="F244" s="60">
        <f t="shared" si="63"/>
        <v>4.3899999999999997</v>
      </c>
      <c r="G244" s="60">
        <f t="shared" si="63"/>
        <v>17.62</v>
      </c>
      <c r="H244" s="60">
        <f t="shared" si="63"/>
        <v>18500</v>
      </c>
      <c r="I244" s="60">
        <f t="shared" si="63"/>
        <v>0</v>
      </c>
      <c r="J244" s="60">
        <f t="shared" si="63"/>
        <v>18500</v>
      </c>
      <c r="K244" s="60">
        <f t="shared" si="63"/>
        <v>0</v>
      </c>
      <c r="L244" s="60">
        <f t="shared" si="63"/>
        <v>0</v>
      </c>
      <c r="M244" s="60">
        <f t="shared" si="63"/>
        <v>18500</v>
      </c>
      <c r="N244" s="99"/>
      <c r="O244" s="99"/>
      <c r="P244" s="99"/>
      <c r="Q244" s="99"/>
      <c r="R244" s="422"/>
    </row>
    <row r="245" spans="1:18" x14ac:dyDescent="0.2">
      <c r="A245" s="426"/>
      <c r="B245" s="426"/>
      <c r="C245" s="43" t="s">
        <v>39</v>
      </c>
      <c r="D245" s="60">
        <f>D203+D209+D215+D221+D227+D233+D239</f>
        <v>150</v>
      </c>
      <c r="E245" s="60">
        <f t="shared" si="63"/>
        <v>208.57</v>
      </c>
      <c r="F245" s="60">
        <f t="shared" si="63"/>
        <v>0.42</v>
      </c>
      <c r="G245" s="60">
        <f t="shared" si="63"/>
        <v>8.5</v>
      </c>
      <c r="H245" s="60">
        <f t="shared" si="63"/>
        <v>78560.899999999994</v>
      </c>
      <c r="I245" s="60">
        <f t="shared" si="63"/>
        <v>0</v>
      </c>
      <c r="J245" s="60">
        <f t="shared" si="63"/>
        <v>8200</v>
      </c>
      <c r="K245" s="60">
        <f t="shared" si="63"/>
        <v>70360.899999999994</v>
      </c>
      <c r="L245" s="60">
        <f t="shared" si="63"/>
        <v>0</v>
      </c>
      <c r="M245" s="60">
        <f t="shared" si="63"/>
        <v>78560.899999999994</v>
      </c>
      <c r="N245" s="99"/>
      <c r="O245" s="99"/>
      <c r="P245" s="99"/>
      <c r="Q245" s="99"/>
      <c r="R245" s="422"/>
    </row>
    <row r="246" spans="1:18" x14ac:dyDescent="0.2">
      <c r="A246" s="426"/>
      <c r="B246" s="426"/>
      <c r="C246" s="43" t="s">
        <v>12</v>
      </c>
      <c r="D246" s="159">
        <f>SUM(D241:D245)</f>
        <v>1557</v>
      </c>
      <c r="E246" s="159">
        <f t="shared" ref="E246:M246" si="64">SUM(E241:E245)</f>
        <v>29405.910300000003</v>
      </c>
      <c r="F246" s="159">
        <f t="shared" si="64"/>
        <v>75.510000000000005</v>
      </c>
      <c r="G246" s="159">
        <f t="shared" si="64"/>
        <v>44.47</v>
      </c>
      <c r="H246" s="159">
        <f t="shared" si="64"/>
        <v>287634.73416999995</v>
      </c>
      <c r="I246" s="159">
        <f t="shared" si="64"/>
        <v>1797.28</v>
      </c>
      <c r="J246" s="159">
        <f t="shared" si="64"/>
        <v>38932.679759999999</v>
      </c>
      <c r="K246" s="159">
        <f t="shared" si="64"/>
        <v>246904.77440999998</v>
      </c>
      <c r="L246" s="159">
        <f t="shared" si="64"/>
        <v>0</v>
      </c>
      <c r="M246" s="159">
        <f t="shared" si="64"/>
        <v>285837.45417000004</v>
      </c>
      <c r="N246" s="99"/>
      <c r="O246" s="99"/>
      <c r="P246" s="99"/>
      <c r="Q246" s="99"/>
      <c r="R246" s="422"/>
    </row>
    <row r="247" spans="1:18" x14ac:dyDescent="0.2">
      <c r="A247" s="427" t="s">
        <v>45</v>
      </c>
      <c r="B247" s="428"/>
      <c r="C247" s="66"/>
      <c r="D247" s="67"/>
      <c r="E247" s="98"/>
      <c r="F247" s="67"/>
      <c r="G247" s="67"/>
      <c r="H247" s="163"/>
      <c r="I247" s="66"/>
      <c r="J247" s="68"/>
      <c r="K247" s="68"/>
      <c r="L247" s="68"/>
      <c r="M247" s="68"/>
      <c r="N247" s="66"/>
      <c r="O247" s="66"/>
      <c r="P247" s="66"/>
      <c r="Q247" s="66"/>
    </row>
    <row r="248" spans="1:18" ht="12" customHeight="1" x14ac:dyDescent="0.2">
      <c r="A248" s="417">
        <v>30</v>
      </c>
      <c r="B248" s="447" t="s">
        <v>112</v>
      </c>
      <c r="C248" s="43">
        <v>2019</v>
      </c>
      <c r="D248" s="98"/>
      <c r="E248" s="67"/>
      <c r="F248" s="44"/>
      <c r="G248" s="45"/>
      <c r="H248" s="46">
        <f>I248+J248+K248+L248</f>
        <v>0</v>
      </c>
      <c r="I248" s="171"/>
      <c r="J248" s="49"/>
      <c r="K248" s="49"/>
      <c r="L248" s="49"/>
      <c r="M248" s="49">
        <f>J248+K248+L248</f>
        <v>0</v>
      </c>
      <c r="N248" s="99"/>
      <c r="O248" s="99"/>
      <c r="P248" s="99"/>
      <c r="Q248" s="99"/>
      <c r="R248" s="422"/>
    </row>
    <row r="249" spans="1:18" ht="14.25" customHeight="1" x14ac:dyDescent="0.2">
      <c r="A249" s="417"/>
      <c r="B249" s="447"/>
      <c r="C249" s="43" t="s">
        <v>24</v>
      </c>
      <c r="D249" s="98">
        <v>260</v>
      </c>
      <c r="E249" s="98">
        <v>705.8</v>
      </c>
      <c r="F249" s="44">
        <v>2.85</v>
      </c>
      <c r="G249" s="45">
        <v>3.5</v>
      </c>
      <c r="H249" s="46">
        <f>I249+J249+K249+L249</f>
        <v>1001.62559</v>
      </c>
      <c r="I249" s="171">
        <v>1.6255900000000001</v>
      </c>
      <c r="J249" s="48">
        <v>1000</v>
      </c>
      <c r="K249" s="49"/>
      <c r="L249" s="49"/>
      <c r="M249" s="49">
        <f>J249+K249+L249</f>
        <v>1000</v>
      </c>
      <c r="N249" s="99" t="s">
        <v>54</v>
      </c>
      <c r="O249" s="99"/>
      <c r="P249" s="99"/>
      <c r="Q249" s="99"/>
      <c r="R249" s="422"/>
    </row>
    <row r="250" spans="1:18" ht="14.25" customHeight="1" x14ac:dyDescent="0.2">
      <c r="A250" s="417"/>
      <c r="B250" s="447"/>
      <c r="C250" s="43" t="s">
        <v>25</v>
      </c>
      <c r="D250" s="98"/>
      <c r="E250" s="98"/>
      <c r="F250" s="44"/>
      <c r="G250" s="45"/>
      <c r="H250" s="46">
        <f>I250+J250+K250+L250</f>
        <v>6900</v>
      </c>
      <c r="I250" s="171"/>
      <c r="J250" s="49">
        <f>2900-J249</f>
        <v>1900</v>
      </c>
      <c r="K250" s="49">
        <v>5000</v>
      </c>
      <c r="L250" s="49"/>
      <c r="M250" s="49">
        <f>J250+K250+L250</f>
        <v>6900</v>
      </c>
      <c r="N250" s="99"/>
      <c r="O250" s="99" t="s">
        <v>54</v>
      </c>
      <c r="P250" s="99" t="s">
        <v>49</v>
      </c>
      <c r="Q250" s="99"/>
      <c r="R250" s="422"/>
    </row>
    <row r="251" spans="1:18" ht="14.25" customHeight="1" x14ac:dyDescent="0.2">
      <c r="A251" s="417"/>
      <c r="B251" s="447"/>
      <c r="C251" s="43" t="s">
        <v>38</v>
      </c>
      <c r="D251" s="98"/>
      <c r="E251" s="98"/>
      <c r="F251" s="44"/>
      <c r="G251" s="45"/>
      <c r="H251" s="46">
        <f>I251+J251+K251+L251</f>
        <v>11000</v>
      </c>
      <c r="I251" s="171"/>
      <c r="J251" s="49"/>
      <c r="K251" s="49">
        <v>11000</v>
      </c>
      <c r="L251" s="49"/>
      <c r="M251" s="49">
        <f>J251+K251+L251</f>
        <v>11000</v>
      </c>
      <c r="N251" s="99"/>
      <c r="O251" s="99"/>
      <c r="P251" s="99"/>
      <c r="Q251" s="99" t="s">
        <v>52</v>
      </c>
      <c r="R251" s="422"/>
    </row>
    <row r="252" spans="1:18" ht="16.5" customHeight="1" x14ac:dyDescent="0.2">
      <c r="A252" s="417"/>
      <c r="B252" s="447"/>
      <c r="C252" s="43" t="s">
        <v>39</v>
      </c>
      <c r="D252" s="98"/>
      <c r="E252" s="57"/>
      <c r="F252" s="58"/>
      <c r="G252" s="45"/>
      <c r="H252" s="46">
        <f>I252+J252+K252+L252</f>
        <v>0</v>
      </c>
      <c r="I252" s="171"/>
      <c r="J252" s="49"/>
      <c r="K252" s="49"/>
      <c r="L252" s="49"/>
      <c r="M252" s="49">
        <f>J252+K252+L252</f>
        <v>0</v>
      </c>
      <c r="N252" s="99"/>
      <c r="O252" s="99"/>
      <c r="P252" s="99"/>
      <c r="Q252" s="99"/>
      <c r="R252" s="422"/>
    </row>
    <row r="253" spans="1:18" ht="12" customHeight="1" x14ac:dyDescent="0.2">
      <c r="A253" s="417"/>
      <c r="B253" s="447"/>
      <c r="C253" s="43" t="s">
        <v>26</v>
      </c>
      <c r="D253" s="38">
        <f>SUM(D248:D252)</f>
        <v>260</v>
      </c>
      <c r="E253" s="38">
        <f t="shared" ref="E253:L253" si="65">SUM(E248:E252)</f>
        <v>705.8</v>
      </c>
      <c r="F253" s="38">
        <f t="shared" si="65"/>
        <v>2.85</v>
      </c>
      <c r="G253" s="38">
        <f t="shared" si="65"/>
        <v>3.5</v>
      </c>
      <c r="H253" s="38">
        <f t="shared" si="65"/>
        <v>18901.62559</v>
      </c>
      <c r="I253" s="38">
        <f t="shared" si="65"/>
        <v>1.6255900000000001</v>
      </c>
      <c r="J253" s="38">
        <f t="shared" si="65"/>
        <v>2900</v>
      </c>
      <c r="K253" s="38">
        <f t="shared" si="65"/>
        <v>16000</v>
      </c>
      <c r="L253" s="38">
        <f t="shared" si="65"/>
        <v>0</v>
      </c>
      <c r="M253" s="39">
        <f>SUM(M248:M252)</f>
        <v>18900</v>
      </c>
      <c r="N253" s="99"/>
      <c r="O253" s="99"/>
      <c r="P253" s="99"/>
      <c r="Q253" s="99"/>
      <c r="R253" s="422"/>
    </row>
    <row r="254" spans="1:18" ht="15" customHeight="1" x14ac:dyDescent="0.2">
      <c r="A254" s="417">
        <v>31</v>
      </c>
      <c r="B254" s="447" t="s">
        <v>73</v>
      </c>
      <c r="C254" s="43">
        <v>2019</v>
      </c>
      <c r="D254" s="38"/>
      <c r="E254" s="38"/>
      <c r="F254" s="38"/>
      <c r="G254" s="38"/>
      <c r="H254" s="46">
        <f>I254+J254+K254+L254</f>
        <v>0</v>
      </c>
      <c r="I254" s="38"/>
      <c r="J254" s="39"/>
      <c r="K254" s="39">
        <v>0</v>
      </c>
      <c r="L254" s="39"/>
      <c r="M254" s="49">
        <f t="shared" ref="M254:M271" si="66">J254+K254+L254</f>
        <v>0</v>
      </c>
      <c r="N254" s="99"/>
      <c r="O254" s="99"/>
      <c r="P254" s="99"/>
      <c r="Q254" s="99"/>
      <c r="R254" s="451"/>
    </row>
    <row r="255" spans="1:18" ht="14.25" customHeight="1" x14ac:dyDescent="0.2">
      <c r="A255" s="417"/>
      <c r="B255" s="447"/>
      <c r="C255" s="43" t="s">
        <v>24</v>
      </c>
      <c r="D255" s="38">
        <v>470</v>
      </c>
      <c r="E255" s="38">
        <v>440.4</v>
      </c>
      <c r="F255" s="38">
        <v>1.107</v>
      </c>
      <c r="G255" s="38">
        <v>3.4</v>
      </c>
      <c r="H255" s="46">
        <f>I255+J255+K255+L255</f>
        <v>9450</v>
      </c>
      <c r="I255" s="38"/>
      <c r="J255" s="39">
        <v>3900</v>
      </c>
      <c r="K255" s="39">
        <v>5550</v>
      </c>
      <c r="L255" s="39"/>
      <c r="M255" s="49">
        <f t="shared" si="66"/>
        <v>9450</v>
      </c>
      <c r="N255" s="99" t="s">
        <v>28</v>
      </c>
      <c r="O255" s="99" t="s">
        <v>53</v>
      </c>
      <c r="P255" s="99" t="s">
        <v>57</v>
      </c>
      <c r="Q255" s="99"/>
      <c r="R255" s="451"/>
    </row>
    <row r="256" spans="1:18" ht="15" customHeight="1" x14ac:dyDescent="0.2">
      <c r="A256" s="417"/>
      <c r="B256" s="447"/>
      <c r="C256" s="43" t="s">
        <v>25</v>
      </c>
      <c r="D256" s="38"/>
      <c r="E256" s="38"/>
      <c r="F256" s="38"/>
      <c r="G256" s="38"/>
      <c r="H256" s="46">
        <f>I256+J256+K256+L256</f>
        <v>1950</v>
      </c>
      <c r="I256" s="38"/>
      <c r="J256" s="39"/>
      <c r="K256" s="39">
        <v>1950</v>
      </c>
      <c r="L256" s="39"/>
      <c r="M256" s="49">
        <f t="shared" si="66"/>
        <v>1950</v>
      </c>
      <c r="N256" s="99"/>
      <c r="O256" s="99"/>
      <c r="P256" s="99"/>
      <c r="Q256" s="99" t="s">
        <v>54</v>
      </c>
      <c r="R256" s="451"/>
    </row>
    <row r="257" spans="1:18" ht="15" customHeight="1" x14ac:dyDescent="0.2">
      <c r="A257" s="417"/>
      <c r="B257" s="447"/>
      <c r="C257" s="43" t="s">
        <v>38</v>
      </c>
      <c r="D257" s="38"/>
      <c r="E257" s="38"/>
      <c r="F257" s="38"/>
      <c r="G257" s="38"/>
      <c r="H257" s="46">
        <f>I257+J257+K257+L257</f>
        <v>0</v>
      </c>
      <c r="I257" s="38"/>
      <c r="J257" s="39"/>
      <c r="K257" s="39"/>
      <c r="L257" s="39"/>
      <c r="M257" s="49">
        <f t="shared" si="66"/>
        <v>0</v>
      </c>
      <c r="N257" s="99"/>
      <c r="O257" s="99"/>
      <c r="P257" s="99"/>
      <c r="Q257" s="99"/>
      <c r="R257" s="451"/>
    </row>
    <row r="258" spans="1:18" ht="15" customHeight="1" x14ac:dyDescent="0.2">
      <c r="A258" s="417"/>
      <c r="B258" s="447"/>
      <c r="C258" s="43" t="s">
        <v>39</v>
      </c>
      <c r="D258" s="38"/>
      <c r="E258" s="38"/>
      <c r="F258" s="38"/>
      <c r="G258" s="38"/>
      <c r="H258" s="46">
        <f>I258+J258+K258+L258</f>
        <v>0</v>
      </c>
      <c r="I258" s="38"/>
      <c r="J258" s="39"/>
      <c r="K258" s="39"/>
      <c r="L258" s="39"/>
      <c r="M258" s="49">
        <f t="shared" si="66"/>
        <v>0</v>
      </c>
      <c r="N258" s="99"/>
      <c r="O258" s="99"/>
      <c r="P258" s="99"/>
      <c r="Q258" s="99"/>
      <c r="R258" s="451"/>
    </row>
    <row r="259" spans="1:18" ht="15" customHeight="1" x14ac:dyDescent="0.2">
      <c r="A259" s="417"/>
      <c r="B259" s="447"/>
      <c r="C259" s="43" t="s">
        <v>26</v>
      </c>
      <c r="D259" s="38">
        <f>SUM(D254:D258)</f>
        <v>470</v>
      </c>
      <c r="E259" s="38">
        <f t="shared" ref="E259:L259" si="67">SUM(E254:E258)</f>
        <v>440.4</v>
      </c>
      <c r="F259" s="38">
        <f t="shared" si="67"/>
        <v>1.107</v>
      </c>
      <c r="G259" s="38">
        <f t="shared" si="67"/>
        <v>3.4</v>
      </c>
      <c r="H259" s="71">
        <f>SUM(H254:H258)</f>
        <v>11400</v>
      </c>
      <c r="I259" s="38">
        <f t="shared" si="67"/>
        <v>0</v>
      </c>
      <c r="J259" s="38">
        <f>SUM(J254:J258)</f>
        <v>3900</v>
      </c>
      <c r="K259" s="38">
        <f>SUM(K254:K258)</f>
        <v>7500</v>
      </c>
      <c r="L259" s="38">
        <f t="shared" si="67"/>
        <v>0</v>
      </c>
      <c r="M259" s="49">
        <f t="shared" si="66"/>
        <v>11400</v>
      </c>
      <c r="N259" s="99"/>
      <c r="O259" s="99"/>
      <c r="P259" s="99"/>
      <c r="Q259" s="99"/>
      <c r="R259" s="451"/>
    </row>
    <row r="260" spans="1:18" ht="14.25" customHeight="1" x14ac:dyDescent="0.2">
      <c r="A260" s="417">
        <v>32</v>
      </c>
      <c r="B260" s="447" t="s">
        <v>89</v>
      </c>
      <c r="C260" s="43">
        <v>2019</v>
      </c>
      <c r="D260" s="38">
        <v>937</v>
      </c>
      <c r="E260" s="38">
        <v>913.66</v>
      </c>
      <c r="F260" s="38">
        <v>2.5649999999999999</v>
      </c>
      <c r="G260" s="38">
        <v>14</v>
      </c>
      <c r="H260" s="46">
        <f>I260+J260+K260+L260</f>
        <v>5300.74</v>
      </c>
      <c r="I260" s="38"/>
      <c r="J260" s="39">
        <v>5300.74</v>
      </c>
      <c r="K260" s="39">
        <v>0</v>
      </c>
      <c r="L260" s="39"/>
      <c r="M260" s="49">
        <f t="shared" si="66"/>
        <v>5300.74</v>
      </c>
      <c r="N260" s="99" t="s">
        <v>48</v>
      </c>
      <c r="O260" s="99"/>
      <c r="P260" s="99"/>
      <c r="Q260" s="99"/>
      <c r="R260" s="451"/>
    </row>
    <row r="261" spans="1:18" ht="14.25" customHeight="1" x14ac:dyDescent="0.2">
      <c r="A261" s="417"/>
      <c r="B261" s="447"/>
      <c r="C261" s="43" t="s">
        <v>24</v>
      </c>
      <c r="D261" s="38"/>
      <c r="E261" s="38"/>
      <c r="F261" s="38"/>
      <c r="G261" s="38"/>
      <c r="H261" s="46">
        <f>I261+J261+K261+L261</f>
        <v>107612.57</v>
      </c>
      <c r="I261" s="38"/>
      <c r="J261" s="39">
        <v>5612.57</v>
      </c>
      <c r="K261" s="39">
        <v>102000</v>
      </c>
      <c r="L261" s="39"/>
      <c r="M261" s="49">
        <f t="shared" si="66"/>
        <v>107612.57</v>
      </c>
      <c r="N261" s="99"/>
      <c r="O261" s="99" t="s">
        <v>54</v>
      </c>
      <c r="P261" s="99" t="s">
        <v>49</v>
      </c>
      <c r="Q261" s="99" t="s">
        <v>31</v>
      </c>
      <c r="R261" s="451"/>
    </row>
    <row r="262" spans="1:18" ht="14.25" customHeight="1" x14ac:dyDescent="0.2">
      <c r="A262" s="417"/>
      <c r="B262" s="447"/>
      <c r="C262" s="43" t="s">
        <v>25</v>
      </c>
      <c r="D262" s="38"/>
      <c r="E262" s="38"/>
      <c r="F262" s="38"/>
      <c r="G262" s="38"/>
      <c r="H262" s="46">
        <f>I262+J262+K262+L262</f>
        <v>0</v>
      </c>
      <c r="I262" s="38"/>
      <c r="J262" s="39"/>
      <c r="K262" s="39">
        <v>0</v>
      </c>
      <c r="L262" s="39"/>
      <c r="M262" s="49">
        <f t="shared" si="66"/>
        <v>0</v>
      </c>
      <c r="N262" s="99"/>
      <c r="O262" s="99"/>
      <c r="P262" s="99"/>
      <c r="Q262" s="99"/>
      <c r="R262" s="451"/>
    </row>
    <row r="263" spans="1:18" ht="14.25" customHeight="1" x14ac:dyDescent="0.2">
      <c r="A263" s="417"/>
      <c r="B263" s="447"/>
      <c r="C263" s="43" t="s">
        <v>38</v>
      </c>
      <c r="D263" s="38"/>
      <c r="E263" s="38"/>
      <c r="F263" s="38"/>
      <c r="G263" s="38"/>
      <c r="H263" s="46">
        <f>I263+J263+K263+L263</f>
        <v>0</v>
      </c>
      <c r="I263" s="38"/>
      <c r="J263" s="39"/>
      <c r="K263" s="39"/>
      <c r="L263" s="39"/>
      <c r="M263" s="49">
        <f t="shared" si="66"/>
        <v>0</v>
      </c>
      <c r="N263" s="99"/>
      <c r="O263" s="99"/>
      <c r="P263" s="99"/>
      <c r="Q263" s="99"/>
      <c r="R263" s="451"/>
    </row>
    <row r="264" spans="1:18" ht="14.25" customHeight="1" x14ac:dyDescent="0.2">
      <c r="A264" s="417"/>
      <c r="B264" s="447"/>
      <c r="C264" s="43" t="s">
        <v>39</v>
      </c>
      <c r="D264" s="38"/>
      <c r="E264" s="38"/>
      <c r="F264" s="38"/>
      <c r="G264" s="38"/>
      <c r="H264" s="46">
        <f>I264+J264+K264+L264</f>
        <v>0</v>
      </c>
      <c r="I264" s="38"/>
      <c r="J264" s="39"/>
      <c r="K264" s="39"/>
      <c r="L264" s="39"/>
      <c r="M264" s="49">
        <f t="shared" si="66"/>
        <v>0</v>
      </c>
      <c r="N264" s="99"/>
      <c r="O264" s="99"/>
      <c r="P264" s="99"/>
      <c r="Q264" s="99"/>
      <c r="R264" s="451"/>
    </row>
    <row r="265" spans="1:18" ht="14.25" customHeight="1" x14ac:dyDescent="0.2">
      <c r="A265" s="417"/>
      <c r="B265" s="447"/>
      <c r="C265" s="43" t="s">
        <v>26</v>
      </c>
      <c r="D265" s="38">
        <f t="shared" ref="D265:L265" si="68">SUM(D260:D264)</f>
        <v>937</v>
      </c>
      <c r="E265" s="38">
        <f t="shared" si="68"/>
        <v>913.66</v>
      </c>
      <c r="F265" s="38">
        <f t="shared" si="68"/>
        <v>2.5649999999999999</v>
      </c>
      <c r="G265" s="38">
        <f t="shared" si="68"/>
        <v>14</v>
      </c>
      <c r="H265" s="71">
        <f t="shared" si="68"/>
        <v>112913.31000000001</v>
      </c>
      <c r="I265" s="38">
        <f t="shared" si="68"/>
        <v>0</v>
      </c>
      <c r="J265" s="38">
        <f t="shared" si="68"/>
        <v>10913.31</v>
      </c>
      <c r="K265" s="38">
        <f t="shared" si="68"/>
        <v>102000</v>
      </c>
      <c r="L265" s="38">
        <f t="shared" si="68"/>
        <v>0</v>
      </c>
      <c r="M265" s="49">
        <f t="shared" si="66"/>
        <v>112913.31</v>
      </c>
      <c r="N265" s="99"/>
      <c r="O265" s="99"/>
      <c r="P265" s="99"/>
      <c r="Q265" s="99"/>
      <c r="R265" s="451"/>
    </row>
    <row r="266" spans="1:18" x14ac:dyDescent="0.2">
      <c r="A266" s="426" t="s">
        <v>29</v>
      </c>
      <c r="B266" s="426"/>
      <c r="C266" s="43">
        <v>2019</v>
      </c>
      <c r="D266" s="38">
        <f>D248+D254+D260</f>
        <v>937</v>
      </c>
      <c r="E266" s="38">
        <f t="shared" ref="E266:L266" si="69">E248+E254+E260</f>
        <v>913.66</v>
      </c>
      <c r="F266" s="38">
        <f t="shared" si="69"/>
        <v>2.5649999999999999</v>
      </c>
      <c r="G266" s="38">
        <f t="shared" si="69"/>
        <v>14</v>
      </c>
      <c r="H266" s="38">
        <f t="shared" si="69"/>
        <v>5300.74</v>
      </c>
      <c r="I266" s="38">
        <f t="shared" si="69"/>
        <v>0</v>
      </c>
      <c r="J266" s="38">
        <f t="shared" si="69"/>
        <v>5300.74</v>
      </c>
      <c r="K266" s="38">
        <f t="shared" si="69"/>
        <v>0</v>
      </c>
      <c r="L266" s="38">
        <f t="shared" si="69"/>
        <v>0</v>
      </c>
      <c r="M266" s="49">
        <f t="shared" si="66"/>
        <v>5300.74</v>
      </c>
      <c r="N266" s="99"/>
      <c r="O266" s="99"/>
      <c r="P266" s="99"/>
      <c r="Q266" s="99"/>
      <c r="R266" s="422"/>
    </row>
    <row r="267" spans="1:18" x14ac:dyDescent="0.2">
      <c r="A267" s="426"/>
      <c r="B267" s="426"/>
      <c r="C267" s="43" t="s">
        <v>24</v>
      </c>
      <c r="D267" s="38">
        <f t="shared" ref="D267:L270" si="70">D249+D255+D261</f>
        <v>730</v>
      </c>
      <c r="E267" s="38">
        <f t="shared" si="70"/>
        <v>1146.1999999999998</v>
      </c>
      <c r="F267" s="38">
        <f t="shared" si="70"/>
        <v>3.9569999999999999</v>
      </c>
      <c r="G267" s="38">
        <f t="shared" si="70"/>
        <v>6.9</v>
      </c>
      <c r="H267" s="38">
        <f t="shared" si="70"/>
        <v>118064.19559</v>
      </c>
      <c r="I267" s="38">
        <f t="shared" si="70"/>
        <v>1.6255900000000001</v>
      </c>
      <c r="J267" s="38">
        <f t="shared" si="70"/>
        <v>10512.57</v>
      </c>
      <c r="K267" s="38">
        <f t="shared" si="70"/>
        <v>107550</v>
      </c>
      <c r="L267" s="38">
        <f t="shared" si="70"/>
        <v>0</v>
      </c>
      <c r="M267" s="49">
        <f t="shared" si="66"/>
        <v>118062.57</v>
      </c>
      <c r="N267" s="99"/>
      <c r="O267" s="99"/>
      <c r="P267" s="99"/>
      <c r="Q267" s="99"/>
      <c r="R267" s="422"/>
    </row>
    <row r="268" spans="1:18" x14ac:dyDescent="0.2">
      <c r="A268" s="426"/>
      <c r="B268" s="426"/>
      <c r="C268" s="43" t="s">
        <v>25</v>
      </c>
      <c r="D268" s="38">
        <f t="shared" si="70"/>
        <v>0</v>
      </c>
      <c r="E268" s="38">
        <f t="shared" si="70"/>
        <v>0</v>
      </c>
      <c r="F268" s="38">
        <f t="shared" si="70"/>
        <v>0</v>
      </c>
      <c r="G268" s="38">
        <f t="shared" si="70"/>
        <v>0</v>
      </c>
      <c r="H268" s="38">
        <f t="shared" si="70"/>
        <v>8850</v>
      </c>
      <c r="I268" s="38">
        <f t="shared" si="70"/>
        <v>0</v>
      </c>
      <c r="J268" s="38">
        <f t="shared" si="70"/>
        <v>1900</v>
      </c>
      <c r="K268" s="38">
        <f t="shared" si="70"/>
        <v>6950</v>
      </c>
      <c r="L268" s="38">
        <f t="shared" si="70"/>
        <v>0</v>
      </c>
      <c r="M268" s="49">
        <f t="shared" si="66"/>
        <v>8850</v>
      </c>
      <c r="N268" s="99"/>
      <c r="O268" s="99"/>
      <c r="P268" s="99"/>
      <c r="Q268" s="99"/>
      <c r="R268" s="422"/>
    </row>
    <row r="269" spans="1:18" x14ac:dyDescent="0.2">
      <c r="A269" s="426"/>
      <c r="B269" s="426"/>
      <c r="C269" s="43" t="s">
        <v>38</v>
      </c>
      <c r="D269" s="38">
        <f t="shared" si="70"/>
        <v>0</v>
      </c>
      <c r="E269" s="38">
        <f t="shared" si="70"/>
        <v>0</v>
      </c>
      <c r="F269" s="38">
        <f t="shared" si="70"/>
        <v>0</v>
      </c>
      <c r="G269" s="38">
        <f t="shared" si="70"/>
        <v>0</v>
      </c>
      <c r="H269" s="38">
        <f t="shared" si="70"/>
        <v>11000</v>
      </c>
      <c r="I269" s="38">
        <f t="shared" si="70"/>
        <v>0</v>
      </c>
      <c r="J269" s="38">
        <f t="shared" si="70"/>
        <v>0</v>
      </c>
      <c r="K269" s="38">
        <f t="shared" si="70"/>
        <v>11000</v>
      </c>
      <c r="L269" s="38">
        <f t="shared" si="70"/>
        <v>0</v>
      </c>
      <c r="M269" s="49">
        <f t="shared" si="66"/>
        <v>11000</v>
      </c>
      <c r="N269" s="99"/>
      <c r="O269" s="99"/>
      <c r="P269" s="99"/>
      <c r="Q269" s="99"/>
      <c r="R269" s="422"/>
    </row>
    <row r="270" spans="1:18" x14ac:dyDescent="0.2">
      <c r="A270" s="426"/>
      <c r="B270" s="426"/>
      <c r="C270" s="43" t="s">
        <v>39</v>
      </c>
      <c r="D270" s="38">
        <f t="shared" si="70"/>
        <v>0</v>
      </c>
      <c r="E270" s="38">
        <f t="shared" si="70"/>
        <v>0</v>
      </c>
      <c r="F270" s="38">
        <f t="shared" si="70"/>
        <v>0</v>
      </c>
      <c r="G270" s="38">
        <f t="shared" si="70"/>
        <v>0</v>
      </c>
      <c r="H270" s="38">
        <f t="shared" si="70"/>
        <v>0</v>
      </c>
      <c r="I270" s="38">
        <f t="shared" si="70"/>
        <v>0</v>
      </c>
      <c r="J270" s="38">
        <f t="shared" si="70"/>
        <v>0</v>
      </c>
      <c r="K270" s="38">
        <f t="shared" si="70"/>
        <v>0</v>
      </c>
      <c r="L270" s="38">
        <f t="shared" si="70"/>
        <v>0</v>
      </c>
      <c r="M270" s="49">
        <f t="shared" si="66"/>
        <v>0</v>
      </c>
      <c r="N270" s="99"/>
      <c r="O270" s="99"/>
      <c r="P270" s="99"/>
      <c r="Q270" s="99"/>
      <c r="R270" s="422"/>
    </row>
    <row r="271" spans="1:18" x14ac:dyDescent="0.2">
      <c r="A271" s="426"/>
      <c r="B271" s="426"/>
      <c r="C271" s="172" t="s">
        <v>12</v>
      </c>
      <c r="D271" s="173">
        <f>SUM(D266:D270)</f>
        <v>1667</v>
      </c>
      <c r="E271" s="173">
        <f t="shared" ref="E271:L271" si="71">SUM(E266:E270)</f>
        <v>2059.8599999999997</v>
      </c>
      <c r="F271" s="173">
        <f t="shared" si="71"/>
        <v>6.5220000000000002</v>
      </c>
      <c r="G271" s="173">
        <f t="shared" si="71"/>
        <v>20.9</v>
      </c>
      <c r="H271" s="173">
        <f t="shared" si="71"/>
        <v>143214.93559000001</v>
      </c>
      <c r="I271" s="173">
        <f t="shared" si="71"/>
        <v>1.6255900000000001</v>
      </c>
      <c r="J271" s="173">
        <f t="shared" si="71"/>
        <v>17713.309999999998</v>
      </c>
      <c r="K271" s="173">
        <f t="shared" si="71"/>
        <v>125500</v>
      </c>
      <c r="L271" s="173">
        <f t="shared" si="71"/>
        <v>0</v>
      </c>
      <c r="M271" s="174">
        <f t="shared" si="66"/>
        <v>143213.31</v>
      </c>
      <c r="N271" s="175"/>
      <c r="O271" s="175"/>
      <c r="P271" s="175"/>
      <c r="Q271" s="175"/>
      <c r="R271" s="422"/>
    </row>
    <row r="272" spans="1:18" ht="15.75" customHeight="1" x14ac:dyDescent="0.2">
      <c r="A272" s="427" t="s">
        <v>114</v>
      </c>
      <c r="B272" s="428"/>
      <c r="C272" s="66"/>
      <c r="D272" s="67"/>
      <c r="E272" s="98"/>
      <c r="F272" s="67"/>
      <c r="G272" s="67"/>
      <c r="H272" s="66"/>
      <c r="I272" s="66"/>
      <c r="J272" s="68"/>
      <c r="K272" s="68"/>
      <c r="L272" s="68"/>
      <c r="M272" s="68"/>
      <c r="N272" s="66"/>
      <c r="O272" s="66"/>
      <c r="P272" s="66"/>
      <c r="Q272" s="66"/>
      <c r="R272" s="100"/>
    </row>
    <row r="273" spans="1:18" ht="12.75" customHeight="1" x14ac:dyDescent="0.2">
      <c r="A273" s="417">
        <v>33</v>
      </c>
      <c r="B273" s="418" t="s">
        <v>117</v>
      </c>
      <c r="C273" s="43">
        <v>2019</v>
      </c>
      <c r="D273" s="60"/>
      <c r="E273" s="60"/>
      <c r="F273" s="60"/>
      <c r="G273" s="60"/>
      <c r="H273" s="62">
        <f>I273+J273+K273+L273</f>
        <v>0</v>
      </c>
      <c r="I273" s="69">
        <v>0</v>
      </c>
      <c r="J273" s="70"/>
      <c r="K273" s="70">
        <v>0</v>
      </c>
      <c r="L273" s="70">
        <v>0</v>
      </c>
      <c r="M273" s="40">
        <f t="shared" ref="M273:M284" si="72">J273+K273+L273</f>
        <v>0</v>
      </c>
      <c r="N273" s="99"/>
      <c r="O273" s="99"/>
      <c r="P273" s="99"/>
      <c r="Q273" s="99"/>
      <c r="R273" s="448"/>
    </row>
    <row r="274" spans="1:18" x14ac:dyDescent="0.2">
      <c r="A274" s="417"/>
      <c r="B274" s="418"/>
      <c r="C274" s="43" t="s">
        <v>24</v>
      </c>
      <c r="D274" s="60"/>
      <c r="E274" s="60"/>
      <c r="F274" s="60"/>
      <c r="G274" s="60"/>
      <c r="H274" s="62">
        <f>I274+J274+K274+L274</f>
        <v>0</v>
      </c>
      <c r="I274" s="69">
        <v>0</v>
      </c>
      <c r="J274" s="70"/>
      <c r="K274" s="70"/>
      <c r="L274" s="70">
        <v>0</v>
      </c>
      <c r="M274" s="40">
        <f t="shared" si="72"/>
        <v>0</v>
      </c>
      <c r="N274" s="99"/>
      <c r="O274" s="99"/>
      <c r="P274" s="99"/>
      <c r="Q274" s="99"/>
      <c r="R274" s="449"/>
    </row>
    <row r="275" spans="1:18" x14ac:dyDescent="0.2">
      <c r="A275" s="417"/>
      <c r="B275" s="418"/>
      <c r="C275" s="43">
        <v>2021</v>
      </c>
      <c r="D275" s="60">
        <v>179</v>
      </c>
      <c r="E275" s="60">
        <v>687.9</v>
      </c>
      <c r="F275" s="60">
        <v>1.0960000000000001</v>
      </c>
      <c r="G275" s="60">
        <v>12.15</v>
      </c>
      <c r="H275" s="62">
        <f>I275+J275+K275+L275</f>
        <v>49100</v>
      </c>
      <c r="I275" s="69">
        <v>0</v>
      </c>
      <c r="J275" s="70">
        <v>3100</v>
      </c>
      <c r="K275" s="70">
        <v>46000</v>
      </c>
      <c r="L275" s="70">
        <v>0</v>
      </c>
      <c r="M275" s="40">
        <f t="shared" si="72"/>
        <v>49100</v>
      </c>
      <c r="N275" s="99" t="s">
        <v>28</v>
      </c>
      <c r="O275" s="99" t="s">
        <v>47</v>
      </c>
      <c r="P275" s="99" t="s">
        <v>48</v>
      </c>
      <c r="Q275" s="99" t="s">
        <v>31</v>
      </c>
      <c r="R275" s="449"/>
    </row>
    <row r="276" spans="1:18" x14ac:dyDescent="0.2">
      <c r="A276" s="417"/>
      <c r="B276" s="418"/>
      <c r="C276" s="43">
        <v>2022</v>
      </c>
      <c r="D276" s="60"/>
      <c r="E276" s="60"/>
      <c r="F276" s="60"/>
      <c r="G276" s="60"/>
      <c r="H276" s="62">
        <f>I276+J276+K276+L276</f>
        <v>0</v>
      </c>
      <c r="I276" s="69">
        <v>0</v>
      </c>
      <c r="J276" s="70">
        <v>0</v>
      </c>
      <c r="K276" s="70"/>
      <c r="L276" s="70">
        <v>0</v>
      </c>
      <c r="M276" s="40">
        <f t="shared" si="72"/>
        <v>0</v>
      </c>
      <c r="N276" s="99"/>
      <c r="O276" s="99"/>
      <c r="P276" s="99"/>
      <c r="Q276" s="99"/>
      <c r="R276" s="449"/>
    </row>
    <row r="277" spans="1:18" x14ac:dyDescent="0.2">
      <c r="A277" s="417"/>
      <c r="B277" s="418"/>
      <c r="C277" s="43">
        <v>2023</v>
      </c>
      <c r="D277" s="60"/>
      <c r="E277" s="60"/>
      <c r="F277" s="60"/>
      <c r="G277" s="60"/>
      <c r="H277" s="62">
        <f>I277+J277+K277+L277</f>
        <v>0</v>
      </c>
      <c r="I277" s="69">
        <v>0</v>
      </c>
      <c r="J277" s="70">
        <f>G277*1800-J276</f>
        <v>0</v>
      </c>
      <c r="K277" s="70">
        <f>G277*4500</f>
        <v>0</v>
      </c>
      <c r="L277" s="70">
        <v>0</v>
      </c>
      <c r="M277" s="40">
        <f t="shared" si="72"/>
        <v>0</v>
      </c>
      <c r="N277" s="99"/>
      <c r="O277" s="99"/>
      <c r="P277" s="99"/>
      <c r="Q277" s="99"/>
      <c r="R277" s="449"/>
    </row>
    <row r="278" spans="1:18" x14ac:dyDescent="0.2">
      <c r="A278" s="417"/>
      <c r="B278" s="418"/>
      <c r="C278" s="43" t="s">
        <v>26</v>
      </c>
      <c r="D278" s="60">
        <f t="shared" ref="D278:L278" si="73">SUM(D273:D277)</f>
        <v>179</v>
      </c>
      <c r="E278" s="60">
        <f t="shared" si="73"/>
        <v>687.9</v>
      </c>
      <c r="F278" s="60">
        <f t="shared" si="73"/>
        <v>1.0960000000000001</v>
      </c>
      <c r="G278" s="60">
        <f t="shared" si="73"/>
        <v>12.15</v>
      </c>
      <c r="H278" s="63">
        <f t="shared" si="73"/>
        <v>49100</v>
      </c>
      <c r="I278" s="63">
        <f t="shared" si="73"/>
        <v>0</v>
      </c>
      <c r="J278" s="40">
        <f t="shared" si="73"/>
        <v>3100</v>
      </c>
      <c r="K278" s="40">
        <f t="shared" si="73"/>
        <v>46000</v>
      </c>
      <c r="L278" s="40">
        <f t="shared" si="73"/>
        <v>0</v>
      </c>
      <c r="M278" s="40">
        <f t="shared" si="72"/>
        <v>49100</v>
      </c>
      <c r="N278" s="99"/>
      <c r="O278" s="99"/>
      <c r="P278" s="99"/>
      <c r="Q278" s="99"/>
      <c r="R278" s="450"/>
    </row>
    <row r="279" spans="1:18" x14ac:dyDescent="0.2">
      <c r="A279" s="426" t="s">
        <v>29</v>
      </c>
      <c r="B279" s="426"/>
      <c r="C279" s="43" t="s">
        <v>23</v>
      </c>
      <c r="D279" s="60">
        <f t="shared" ref="D279:L283" si="74">D273</f>
        <v>0</v>
      </c>
      <c r="E279" s="60">
        <f t="shared" si="74"/>
        <v>0</v>
      </c>
      <c r="F279" s="60">
        <f t="shared" si="74"/>
        <v>0</v>
      </c>
      <c r="G279" s="60">
        <f t="shared" si="74"/>
        <v>0</v>
      </c>
      <c r="H279" s="60">
        <f t="shared" si="74"/>
        <v>0</v>
      </c>
      <c r="I279" s="60">
        <f t="shared" si="74"/>
        <v>0</v>
      </c>
      <c r="J279" s="40">
        <f t="shared" si="74"/>
        <v>0</v>
      </c>
      <c r="K279" s="40">
        <f t="shared" si="74"/>
        <v>0</v>
      </c>
      <c r="L279" s="40">
        <f t="shared" si="74"/>
        <v>0</v>
      </c>
      <c r="M279" s="40">
        <f t="shared" si="72"/>
        <v>0</v>
      </c>
      <c r="N279" s="99"/>
      <c r="O279" s="99"/>
      <c r="P279" s="99"/>
      <c r="Q279" s="99"/>
      <c r="R279" s="448"/>
    </row>
    <row r="280" spans="1:18" x14ac:dyDescent="0.2">
      <c r="A280" s="426"/>
      <c r="B280" s="426"/>
      <c r="C280" s="43">
        <v>2020</v>
      </c>
      <c r="D280" s="60">
        <f t="shared" si="74"/>
        <v>0</v>
      </c>
      <c r="E280" s="60">
        <f t="shared" si="74"/>
        <v>0</v>
      </c>
      <c r="F280" s="60">
        <f t="shared" si="74"/>
        <v>0</v>
      </c>
      <c r="G280" s="60">
        <f t="shared" si="74"/>
        <v>0</v>
      </c>
      <c r="H280" s="60">
        <f t="shared" si="74"/>
        <v>0</v>
      </c>
      <c r="I280" s="60">
        <f t="shared" si="74"/>
        <v>0</v>
      </c>
      <c r="J280" s="40">
        <f t="shared" si="74"/>
        <v>0</v>
      </c>
      <c r="K280" s="40">
        <f t="shared" si="74"/>
        <v>0</v>
      </c>
      <c r="L280" s="40">
        <f t="shared" si="74"/>
        <v>0</v>
      </c>
      <c r="M280" s="40">
        <f t="shared" si="72"/>
        <v>0</v>
      </c>
      <c r="N280" s="99"/>
      <c r="O280" s="99"/>
      <c r="P280" s="99"/>
      <c r="Q280" s="99"/>
      <c r="R280" s="449"/>
    </row>
    <row r="281" spans="1:18" x14ac:dyDescent="0.2">
      <c r="A281" s="426"/>
      <c r="B281" s="426"/>
      <c r="C281" s="43">
        <v>2021</v>
      </c>
      <c r="D281" s="60">
        <f t="shared" si="74"/>
        <v>179</v>
      </c>
      <c r="E281" s="60">
        <f t="shared" si="74"/>
        <v>687.9</v>
      </c>
      <c r="F281" s="60">
        <f t="shared" si="74"/>
        <v>1.0960000000000001</v>
      </c>
      <c r="G281" s="60">
        <f t="shared" si="74"/>
        <v>12.15</v>
      </c>
      <c r="H281" s="60">
        <f t="shared" si="74"/>
        <v>49100</v>
      </c>
      <c r="I281" s="60">
        <f t="shared" si="74"/>
        <v>0</v>
      </c>
      <c r="J281" s="40">
        <f t="shared" si="74"/>
        <v>3100</v>
      </c>
      <c r="K281" s="40">
        <f t="shared" si="74"/>
        <v>46000</v>
      </c>
      <c r="L281" s="40">
        <f t="shared" si="74"/>
        <v>0</v>
      </c>
      <c r="M281" s="40">
        <f t="shared" si="72"/>
        <v>49100</v>
      </c>
      <c r="N281" s="99"/>
      <c r="O281" s="99"/>
      <c r="P281" s="99"/>
      <c r="Q281" s="99"/>
      <c r="R281" s="449"/>
    </row>
    <row r="282" spans="1:18" x14ac:dyDescent="0.2">
      <c r="A282" s="426"/>
      <c r="B282" s="426"/>
      <c r="C282" s="43">
        <v>2022</v>
      </c>
      <c r="D282" s="60">
        <f t="shared" si="74"/>
        <v>0</v>
      </c>
      <c r="E282" s="60">
        <f t="shared" si="74"/>
        <v>0</v>
      </c>
      <c r="F282" s="60">
        <f t="shared" si="74"/>
        <v>0</v>
      </c>
      <c r="G282" s="60">
        <f t="shared" si="74"/>
        <v>0</v>
      </c>
      <c r="H282" s="60">
        <f t="shared" si="74"/>
        <v>0</v>
      </c>
      <c r="I282" s="60">
        <f t="shared" si="74"/>
        <v>0</v>
      </c>
      <c r="J282" s="40">
        <f t="shared" si="74"/>
        <v>0</v>
      </c>
      <c r="K282" s="40">
        <f t="shared" si="74"/>
        <v>0</v>
      </c>
      <c r="L282" s="40">
        <f t="shared" si="74"/>
        <v>0</v>
      </c>
      <c r="M282" s="40">
        <f t="shared" si="72"/>
        <v>0</v>
      </c>
      <c r="N282" s="99"/>
      <c r="O282" s="99"/>
      <c r="P282" s="99"/>
      <c r="Q282" s="99"/>
      <c r="R282" s="449"/>
    </row>
    <row r="283" spans="1:18" x14ac:dyDescent="0.2">
      <c r="A283" s="426"/>
      <c r="B283" s="426"/>
      <c r="C283" s="43">
        <v>2023</v>
      </c>
      <c r="D283" s="60">
        <f>D277</f>
        <v>0</v>
      </c>
      <c r="E283" s="60">
        <f t="shared" si="74"/>
        <v>0</v>
      </c>
      <c r="F283" s="60">
        <f t="shared" si="74"/>
        <v>0</v>
      </c>
      <c r="G283" s="60">
        <f t="shared" si="74"/>
        <v>0</v>
      </c>
      <c r="H283" s="60">
        <f t="shared" si="74"/>
        <v>0</v>
      </c>
      <c r="I283" s="60">
        <f t="shared" si="74"/>
        <v>0</v>
      </c>
      <c r="J283" s="40">
        <f t="shared" si="74"/>
        <v>0</v>
      </c>
      <c r="K283" s="40">
        <f t="shared" si="74"/>
        <v>0</v>
      </c>
      <c r="L283" s="40">
        <f t="shared" si="74"/>
        <v>0</v>
      </c>
      <c r="M283" s="40">
        <f t="shared" si="72"/>
        <v>0</v>
      </c>
      <c r="N283" s="99"/>
      <c r="O283" s="99"/>
      <c r="P283" s="99"/>
      <c r="Q283" s="99"/>
      <c r="R283" s="449"/>
    </row>
    <row r="284" spans="1:18" x14ac:dyDescent="0.2">
      <c r="A284" s="426"/>
      <c r="B284" s="426"/>
      <c r="C284" s="43" t="s">
        <v>12</v>
      </c>
      <c r="D284" s="60">
        <f t="shared" ref="D284:L284" si="75">SUM(D279:D283)</f>
        <v>179</v>
      </c>
      <c r="E284" s="60">
        <f t="shared" si="75"/>
        <v>687.9</v>
      </c>
      <c r="F284" s="60">
        <f t="shared" si="75"/>
        <v>1.0960000000000001</v>
      </c>
      <c r="G284" s="60">
        <f t="shared" si="75"/>
        <v>12.15</v>
      </c>
      <c r="H284" s="60">
        <f t="shared" si="75"/>
        <v>49100</v>
      </c>
      <c r="I284" s="60">
        <f t="shared" si="75"/>
        <v>0</v>
      </c>
      <c r="J284" s="40">
        <f t="shared" si="75"/>
        <v>3100</v>
      </c>
      <c r="K284" s="40">
        <f t="shared" si="75"/>
        <v>46000</v>
      </c>
      <c r="L284" s="40">
        <f t="shared" si="75"/>
        <v>0</v>
      </c>
      <c r="M284" s="40">
        <f t="shared" si="72"/>
        <v>49100</v>
      </c>
      <c r="N284" s="99"/>
      <c r="O284" s="99"/>
      <c r="P284" s="99"/>
      <c r="Q284" s="99"/>
      <c r="R284" s="450"/>
    </row>
    <row r="285" spans="1:18" x14ac:dyDescent="0.2">
      <c r="A285" s="455" t="s">
        <v>81</v>
      </c>
      <c r="B285" s="456"/>
      <c r="C285" s="43"/>
      <c r="D285" s="159"/>
      <c r="E285" s="159"/>
      <c r="F285" s="159"/>
      <c r="G285" s="159"/>
      <c r="H285" s="173"/>
      <c r="I285" s="159"/>
      <c r="J285" s="176"/>
      <c r="K285" s="176"/>
      <c r="L285" s="176"/>
      <c r="M285" s="49"/>
      <c r="N285" s="99"/>
      <c r="O285" s="99"/>
      <c r="P285" s="99"/>
      <c r="Q285" s="99"/>
      <c r="R285" s="100"/>
    </row>
    <row r="286" spans="1:18" x14ac:dyDescent="0.2">
      <c r="A286" s="417">
        <v>34</v>
      </c>
      <c r="B286" s="432" t="s">
        <v>86</v>
      </c>
      <c r="C286" s="43">
        <v>2019</v>
      </c>
      <c r="D286" s="159">
        <v>70</v>
      </c>
      <c r="E286" s="159">
        <v>78.3</v>
      </c>
      <c r="F286" s="159">
        <v>0.49</v>
      </c>
      <c r="G286" s="159">
        <v>2.5</v>
      </c>
      <c r="H286" s="173">
        <f>J286</f>
        <v>1399.75118</v>
      </c>
      <c r="I286" s="159"/>
      <c r="J286" s="176">
        <v>1399.75118</v>
      </c>
      <c r="K286" s="176"/>
      <c r="L286" s="176"/>
      <c r="M286" s="49">
        <f t="shared" ref="M286:M303" si="76">J286+K286+L286</f>
        <v>1399.75118</v>
      </c>
      <c r="N286" s="59" t="s">
        <v>28</v>
      </c>
      <c r="O286" s="99"/>
      <c r="P286" s="99"/>
      <c r="Q286" s="99"/>
      <c r="R286" s="448"/>
    </row>
    <row r="287" spans="1:18" x14ac:dyDescent="0.2">
      <c r="A287" s="417"/>
      <c r="B287" s="433"/>
      <c r="C287" s="43" t="s">
        <v>24</v>
      </c>
      <c r="D287" s="159"/>
      <c r="E287" s="159"/>
      <c r="F287" s="159"/>
      <c r="G287" s="159"/>
      <c r="H287" s="173">
        <f>K287+J287</f>
        <v>6406.1</v>
      </c>
      <c r="I287" s="159"/>
      <c r="J287" s="176">
        <f>2305.85-1399.75</f>
        <v>906.09999999999991</v>
      </c>
      <c r="K287" s="176">
        <v>5500</v>
      </c>
      <c r="L287" s="176"/>
      <c r="M287" s="49">
        <f t="shared" si="76"/>
        <v>6406.1</v>
      </c>
      <c r="N287" s="99"/>
      <c r="O287" s="99" t="s">
        <v>54</v>
      </c>
      <c r="P287" s="99" t="s">
        <v>49</v>
      </c>
      <c r="Q287" s="99" t="s">
        <v>55</v>
      </c>
      <c r="R287" s="449"/>
    </row>
    <row r="288" spans="1:18" x14ac:dyDescent="0.2">
      <c r="A288" s="417"/>
      <c r="B288" s="433"/>
      <c r="C288" s="43" t="s">
        <v>25</v>
      </c>
      <c r="D288" s="159"/>
      <c r="E288" s="159"/>
      <c r="F288" s="159"/>
      <c r="G288" s="159"/>
      <c r="H288" s="173"/>
      <c r="I288" s="159"/>
      <c r="J288" s="176"/>
      <c r="K288" s="176"/>
      <c r="L288" s="176"/>
      <c r="M288" s="49">
        <f t="shared" si="76"/>
        <v>0</v>
      </c>
      <c r="N288" s="99"/>
      <c r="O288" s="99"/>
      <c r="P288" s="99"/>
      <c r="Q288" s="99"/>
      <c r="R288" s="449"/>
    </row>
    <row r="289" spans="1:18" x14ac:dyDescent="0.2">
      <c r="A289" s="417"/>
      <c r="B289" s="433"/>
      <c r="C289" s="43" t="s">
        <v>38</v>
      </c>
      <c r="D289" s="159"/>
      <c r="E289" s="159"/>
      <c r="F289" s="159"/>
      <c r="G289" s="159"/>
      <c r="H289" s="173"/>
      <c r="I289" s="159"/>
      <c r="J289" s="176"/>
      <c r="K289" s="176"/>
      <c r="L289" s="176"/>
      <c r="M289" s="49">
        <f t="shared" si="76"/>
        <v>0</v>
      </c>
      <c r="N289" s="99"/>
      <c r="O289" s="99"/>
      <c r="P289" s="99"/>
      <c r="Q289" s="99"/>
      <c r="R289" s="449"/>
    </row>
    <row r="290" spans="1:18" x14ac:dyDescent="0.2">
      <c r="A290" s="417"/>
      <c r="B290" s="433"/>
      <c r="C290" s="43" t="s">
        <v>39</v>
      </c>
      <c r="D290" s="159"/>
      <c r="E290" s="159"/>
      <c r="F290" s="159"/>
      <c r="G290" s="159"/>
      <c r="H290" s="173"/>
      <c r="I290" s="159"/>
      <c r="J290" s="176"/>
      <c r="K290" s="176"/>
      <c r="L290" s="176"/>
      <c r="M290" s="49">
        <f t="shared" si="76"/>
        <v>0</v>
      </c>
      <c r="N290" s="99"/>
      <c r="O290" s="99"/>
      <c r="P290" s="99"/>
      <c r="Q290" s="99"/>
      <c r="R290" s="449"/>
    </row>
    <row r="291" spans="1:18" x14ac:dyDescent="0.2">
      <c r="A291" s="417"/>
      <c r="B291" s="434"/>
      <c r="C291" s="43" t="s">
        <v>26</v>
      </c>
      <c r="D291" s="159">
        <f>SUM(D286:D290)</f>
        <v>70</v>
      </c>
      <c r="E291" s="159">
        <f t="shared" ref="E291:L291" si="77">SUM(E286:E290)</f>
        <v>78.3</v>
      </c>
      <c r="F291" s="159">
        <f t="shared" si="77"/>
        <v>0.49</v>
      </c>
      <c r="G291" s="159">
        <f t="shared" si="77"/>
        <v>2.5</v>
      </c>
      <c r="H291" s="159">
        <f t="shared" si="77"/>
        <v>7805.8511800000006</v>
      </c>
      <c r="I291" s="159">
        <f t="shared" si="77"/>
        <v>0</v>
      </c>
      <c r="J291" s="159">
        <f>SUM(J286:J290)</f>
        <v>2305.8511799999997</v>
      </c>
      <c r="K291" s="159">
        <f>SUM(K286:K290)</f>
        <v>5500</v>
      </c>
      <c r="L291" s="159">
        <f t="shared" si="77"/>
        <v>0</v>
      </c>
      <c r="M291" s="49">
        <f t="shared" si="76"/>
        <v>7805.8511799999997</v>
      </c>
      <c r="N291" s="99"/>
      <c r="O291" s="99"/>
      <c r="P291" s="99"/>
      <c r="Q291" s="99"/>
      <c r="R291" s="450"/>
    </row>
    <row r="292" spans="1:18" ht="15" customHeight="1" x14ac:dyDescent="0.2">
      <c r="A292" s="437">
        <v>35</v>
      </c>
      <c r="B292" s="432" t="s">
        <v>111</v>
      </c>
      <c r="C292" s="43">
        <v>2019</v>
      </c>
      <c r="D292" s="98"/>
      <c r="E292" s="98"/>
      <c r="F292" s="98"/>
      <c r="G292" s="98"/>
      <c r="H292" s="153">
        <f>I292+J292+K292+L292</f>
        <v>0</v>
      </c>
      <c r="I292" s="74"/>
      <c r="J292" s="49"/>
      <c r="K292" s="49"/>
      <c r="L292" s="49"/>
      <c r="M292" s="49">
        <f t="shared" si="76"/>
        <v>0</v>
      </c>
      <c r="N292" s="99"/>
      <c r="O292" s="99"/>
      <c r="P292" s="99"/>
      <c r="Q292" s="99"/>
      <c r="R292" s="452"/>
    </row>
    <row r="293" spans="1:18" ht="15" customHeight="1" x14ac:dyDescent="0.2">
      <c r="A293" s="437"/>
      <c r="B293" s="433"/>
      <c r="C293" s="43" t="s">
        <v>24</v>
      </c>
      <c r="D293" s="98">
        <v>89</v>
      </c>
      <c r="E293" s="98">
        <v>718</v>
      </c>
      <c r="F293" s="98">
        <v>1.72</v>
      </c>
      <c r="G293" s="98">
        <v>2.5</v>
      </c>
      <c r="H293" s="153">
        <f>I293+J293+K293+L293</f>
        <v>10500</v>
      </c>
      <c r="I293" s="74"/>
      <c r="J293" s="49">
        <v>3500</v>
      </c>
      <c r="K293" s="49">
        <v>7000</v>
      </c>
      <c r="L293" s="49"/>
      <c r="M293" s="49">
        <f t="shared" si="76"/>
        <v>10500</v>
      </c>
      <c r="N293" s="99" t="s">
        <v>48</v>
      </c>
      <c r="O293" s="99" t="s">
        <v>51</v>
      </c>
      <c r="P293" s="99" t="s">
        <v>53</v>
      </c>
      <c r="Q293" s="99" t="s">
        <v>55</v>
      </c>
      <c r="R293" s="453"/>
    </row>
    <row r="294" spans="1:18" ht="15" customHeight="1" x14ac:dyDescent="0.2">
      <c r="A294" s="437"/>
      <c r="B294" s="433"/>
      <c r="C294" s="43">
        <v>2021</v>
      </c>
      <c r="D294" s="98"/>
      <c r="E294" s="98"/>
      <c r="F294" s="98"/>
      <c r="G294" s="98"/>
      <c r="H294" s="153">
        <f>I294+J294+K294+L294</f>
        <v>0</v>
      </c>
      <c r="I294" s="74"/>
      <c r="J294" s="49"/>
      <c r="K294" s="49"/>
      <c r="L294" s="49"/>
      <c r="M294" s="49">
        <f t="shared" si="76"/>
        <v>0</v>
      </c>
      <c r="N294" s="99"/>
      <c r="O294" s="99"/>
      <c r="P294" s="99"/>
      <c r="Q294" s="99"/>
      <c r="R294" s="453"/>
    </row>
    <row r="295" spans="1:18" ht="15" customHeight="1" x14ac:dyDescent="0.2">
      <c r="A295" s="437"/>
      <c r="B295" s="433"/>
      <c r="C295" s="43">
        <v>2022</v>
      </c>
      <c r="D295" s="98"/>
      <c r="E295" s="98"/>
      <c r="F295" s="98"/>
      <c r="G295" s="98"/>
      <c r="H295" s="153">
        <f>I295+J295+K295+L295</f>
        <v>0</v>
      </c>
      <c r="I295" s="74"/>
      <c r="J295" s="49"/>
      <c r="K295" s="49"/>
      <c r="L295" s="49"/>
      <c r="M295" s="49">
        <f t="shared" si="76"/>
        <v>0</v>
      </c>
      <c r="N295" s="99"/>
      <c r="O295" s="99"/>
      <c r="P295" s="99"/>
      <c r="Q295" s="99"/>
      <c r="R295" s="453"/>
    </row>
    <row r="296" spans="1:18" ht="15" customHeight="1" x14ac:dyDescent="0.2">
      <c r="A296" s="437"/>
      <c r="B296" s="433"/>
      <c r="C296" s="43">
        <v>2023</v>
      </c>
      <c r="D296" s="98"/>
      <c r="E296" s="98"/>
      <c r="F296" s="98"/>
      <c r="G296" s="98"/>
      <c r="H296" s="153">
        <f>I296+J296+K296+L296</f>
        <v>0</v>
      </c>
      <c r="I296" s="74"/>
      <c r="J296" s="49"/>
      <c r="K296" s="49"/>
      <c r="L296" s="49"/>
      <c r="M296" s="49">
        <f t="shared" si="76"/>
        <v>0</v>
      </c>
      <c r="N296" s="99"/>
      <c r="O296" s="99"/>
      <c r="P296" s="99"/>
      <c r="Q296" s="99"/>
      <c r="R296" s="453"/>
    </row>
    <row r="297" spans="1:18" ht="15" customHeight="1" x14ac:dyDescent="0.2">
      <c r="A297" s="437"/>
      <c r="B297" s="434"/>
      <c r="C297" s="43" t="s">
        <v>26</v>
      </c>
      <c r="D297" s="60">
        <f>SUM(D292:D296)</f>
        <v>89</v>
      </c>
      <c r="E297" s="60">
        <f t="shared" ref="E297:L297" si="78">SUM(E292:E296)</f>
        <v>718</v>
      </c>
      <c r="F297" s="60">
        <f t="shared" si="78"/>
        <v>1.72</v>
      </c>
      <c r="G297" s="60">
        <f t="shared" si="78"/>
        <v>2.5</v>
      </c>
      <c r="H297" s="60">
        <f t="shared" si="78"/>
        <v>10500</v>
      </c>
      <c r="I297" s="60">
        <f t="shared" si="78"/>
        <v>0</v>
      </c>
      <c r="J297" s="40">
        <f t="shared" si="78"/>
        <v>3500</v>
      </c>
      <c r="K297" s="40">
        <f t="shared" si="78"/>
        <v>7000</v>
      </c>
      <c r="L297" s="40">
        <f t="shared" si="78"/>
        <v>0</v>
      </c>
      <c r="M297" s="49">
        <f t="shared" si="76"/>
        <v>10500</v>
      </c>
      <c r="N297" s="99"/>
      <c r="O297" s="99"/>
      <c r="P297" s="99"/>
      <c r="Q297" s="99"/>
      <c r="R297" s="454"/>
    </row>
    <row r="298" spans="1:18" ht="15" customHeight="1" x14ac:dyDescent="0.2">
      <c r="A298" s="426" t="s">
        <v>29</v>
      </c>
      <c r="B298" s="426"/>
      <c r="C298" s="177">
        <v>2019</v>
      </c>
      <c r="D298" s="72">
        <f>D286+D292</f>
        <v>70</v>
      </c>
      <c r="E298" s="72">
        <f t="shared" ref="E298:L298" si="79">E286+E292</f>
        <v>78.3</v>
      </c>
      <c r="F298" s="72">
        <f t="shared" si="79"/>
        <v>0.49</v>
      </c>
      <c r="G298" s="72">
        <f t="shared" si="79"/>
        <v>2.5</v>
      </c>
      <c r="H298" s="72">
        <f t="shared" si="79"/>
        <v>1399.75118</v>
      </c>
      <c r="I298" s="72">
        <f t="shared" si="79"/>
        <v>0</v>
      </c>
      <c r="J298" s="72">
        <f>J286+J292</f>
        <v>1399.75118</v>
      </c>
      <c r="K298" s="72">
        <f t="shared" si="79"/>
        <v>0</v>
      </c>
      <c r="L298" s="72">
        <f t="shared" si="79"/>
        <v>0</v>
      </c>
      <c r="M298" s="178">
        <f t="shared" si="76"/>
        <v>1399.75118</v>
      </c>
      <c r="N298" s="179"/>
      <c r="O298" s="179"/>
      <c r="P298" s="179"/>
      <c r="Q298" s="179"/>
      <c r="R298" s="422"/>
    </row>
    <row r="299" spans="1:18" ht="15" customHeight="1" x14ac:dyDescent="0.2">
      <c r="A299" s="426"/>
      <c r="B299" s="426"/>
      <c r="C299" s="43" t="s">
        <v>24</v>
      </c>
      <c r="D299" s="72">
        <f t="shared" ref="D299:L302" si="80">D287+D293</f>
        <v>89</v>
      </c>
      <c r="E299" s="72">
        <f t="shared" si="80"/>
        <v>718</v>
      </c>
      <c r="F299" s="72">
        <f t="shared" si="80"/>
        <v>1.72</v>
      </c>
      <c r="G299" s="72">
        <f t="shared" si="80"/>
        <v>2.5</v>
      </c>
      <c r="H299" s="72">
        <f t="shared" si="80"/>
        <v>16906.099999999999</v>
      </c>
      <c r="I299" s="72">
        <f t="shared" si="80"/>
        <v>0</v>
      </c>
      <c r="J299" s="72">
        <f>J287+J293</f>
        <v>4406.1000000000004</v>
      </c>
      <c r="K299" s="72">
        <f t="shared" si="80"/>
        <v>12500</v>
      </c>
      <c r="L299" s="72">
        <f t="shared" si="80"/>
        <v>0</v>
      </c>
      <c r="M299" s="49">
        <f t="shared" si="76"/>
        <v>16906.099999999999</v>
      </c>
      <c r="N299" s="99"/>
      <c r="O299" s="99"/>
      <c r="P299" s="99"/>
      <c r="Q299" s="99"/>
      <c r="R299" s="422"/>
    </row>
    <row r="300" spans="1:18" ht="15" customHeight="1" x14ac:dyDescent="0.2">
      <c r="A300" s="426"/>
      <c r="B300" s="426"/>
      <c r="C300" s="43" t="s">
        <v>25</v>
      </c>
      <c r="D300" s="72">
        <f t="shared" si="80"/>
        <v>0</v>
      </c>
      <c r="E300" s="72">
        <f t="shared" si="80"/>
        <v>0</v>
      </c>
      <c r="F300" s="72">
        <f t="shared" si="80"/>
        <v>0</v>
      </c>
      <c r="G300" s="72">
        <f t="shared" si="80"/>
        <v>0</v>
      </c>
      <c r="H300" s="72">
        <f t="shared" si="80"/>
        <v>0</v>
      </c>
      <c r="I300" s="72">
        <f t="shared" si="80"/>
        <v>0</v>
      </c>
      <c r="J300" s="72">
        <f t="shared" si="80"/>
        <v>0</v>
      </c>
      <c r="K300" s="72">
        <f t="shared" si="80"/>
        <v>0</v>
      </c>
      <c r="L300" s="72">
        <f t="shared" si="80"/>
        <v>0</v>
      </c>
      <c r="M300" s="49">
        <f t="shared" si="76"/>
        <v>0</v>
      </c>
      <c r="N300" s="99"/>
      <c r="O300" s="99"/>
      <c r="P300" s="99"/>
      <c r="Q300" s="99"/>
      <c r="R300" s="422"/>
    </row>
    <row r="301" spans="1:18" ht="15" customHeight="1" x14ac:dyDescent="0.2">
      <c r="A301" s="426"/>
      <c r="B301" s="426"/>
      <c r="C301" s="43" t="s">
        <v>38</v>
      </c>
      <c r="D301" s="72">
        <f t="shared" si="80"/>
        <v>0</v>
      </c>
      <c r="E301" s="72">
        <f t="shared" si="80"/>
        <v>0</v>
      </c>
      <c r="F301" s="72">
        <f t="shared" si="80"/>
        <v>0</v>
      </c>
      <c r="G301" s="72">
        <f t="shared" si="80"/>
        <v>0</v>
      </c>
      <c r="H301" s="72">
        <f t="shared" si="80"/>
        <v>0</v>
      </c>
      <c r="I301" s="72">
        <f t="shared" si="80"/>
        <v>0</v>
      </c>
      <c r="J301" s="72">
        <f t="shared" si="80"/>
        <v>0</v>
      </c>
      <c r="K301" s="72">
        <f t="shared" si="80"/>
        <v>0</v>
      </c>
      <c r="L301" s="72">
        <f t="shared" si="80"/>
        <v>0</v>
      </c>
      <c r="M301" s="49">
        <f t="shared" si="76"/>
        <v>0</v>
      </c>
      <c r="N301" s="99"/>
      <c r="O301" s="99"/>
      <c r="P301" s="99"/>
      <c r="Q301" s="99"/>
      <c r="R301" s="422"/>
    </row>
    <row r="302" spans="1:18" ht="15" customHeight="1" x14ac:dyDescent="0.2">
      <c r="A302" s="426"/>
      <c r="B302" s="426"/>
      <c r="C302" s="43" t="s">
        <v>39</v>
      </c>
      <c r="D302" s="72">
        <f t="shared" si="80"/>
        <v>0</v>
      </c>
      <c r="E302" s="72">
        <f t="shared" si="80"/>
        <v>0</v>
      </c>
      <c r="F302" s="72">
        <f t="shared" si="80"/>
        <v>0</v>
      </c>
      <c r="G302" s="72">
        <f t="shared" si="80"/>
        <v>0</v>
      </c>
      <c r="H302" s="72">
        <f t="shared" si="80"/>
        <v>0</v>
      </c>
      <c r="I302" s="72">
        <f t="shared" si="80"/>
        <v>0</v>
      </c>
      <c r="J302" s="72">
        <f t="shared" si="80"/>
        <v>0</v>
      </c>
      <c r="K302" s="72">
        <f t="shared" si="80"/>
        <v>0</v>
      </c>
      <c r="L302" s="72">
        <f t="shared" si="80"/>
        <v>0</v>
      </c>
      <c r="M302" s="49">
        <f t="shared" si="76"/>
        <v>0</v>
      </c>
      <c r="N302" s="99"/>
      <c r="O302" s="99"/>
      <c r="P302" s="99"/>
      <c r="Q302" s="99"/>
      <c r="R302" s="422"/>
    </row>
    <row r="303" spans="1:18" ht="15" customHeight="1" x14ac:dyDescent="0.2">
      <c r="A303" s="426"/>
      <c r="B303" s="426"/>
      <c r="C303" s="43" t="s">
        <v>12</v>
      </c>
      <c r="D303" s="159">
        <f t="shared" ref="D303:L303" si="81">SUM(D298:D302)</f>
        <v>159</v>
      </c>
      <c r="E303" s="159">
        <f t="shared" si="81"/>
        <v>796.3</v>
      </c>
      <c r="F303" s="159">
        <f t="shared" si="81"/>
        <v>2.21</v>
      </c>
      <c r="G303" s="159">
        <f t="shared" si="81"/>
        <v>5</v>
      </c>
      <c r="H303" s="159">
        <f t="shared" si="81"/>
        <v>18305.851179999998</v>
      </c>
      <c r="I303" s="159">
        <f t="shared" si="81"/>
        <v>0</v>
      </c>
      <c r="J303" s="176">
        <f t="shared" si="81"/>
        <v>5805.8511800000006</v>
      </c>
      <c r="K303" s="176">
        <f t="shared" si="81"/>
        <v>12500</v>
      </c>
      <c r="L303" s="176">
        <f t="shared" si="81"/>
        <v>0</v>
      </c>
      <c r="M303" s="49">
        <f t="shared" si="76"/>
        <v>18305.851180000001</v>
      </c>
      <c r="N303" s="99"/>
      <c r="O303" s="99"/>
      <c r="P303" s="99"/>
      <c r="Q303" s="99"/>
      <c r="R303" s="422"/>
    </row>
    <row r="304" spans="1:18" x14ac:dyDescent="0.2">
      <c r="A304" s="427" t="s">
        <v>9</v>
      </c>
      <c r="B304" s="428"/>
      <c r="C304" s="66"/>
      <c r="D304" s="67"/>
      <c r="E304" s="98"/>
      <c r="F304" s="67"/>
      <c r="G304" s="67"/>
      <c r="H304" s="163"/>
      <c r="I304" s="66"/>
      <c r="J304" s="68"/>
      <c r="K304" s="68"/>
      <c r="L304" s="68"/>
      <c r="M304" s="68"/>
      <c r="N304" s="66"/>
      <c r="O304" s="66"/>
      <c r="P304" s="66"/>
      <c r="Q304" s="66"/>
    </row>
    <row r="305" spans="1:18" x14ac:dyDescent="0.2">
      <c r="A305" s="417">
        <v>36</v>
      </c>
      <c r="B305" s="447" t="s">
        <v>104</v>
      </c>
      <c r="C305" s="43">
        <v>2019</v>
      </c>
      <c r="D305" s="98"/>
      <c r="E305" s="67"/>
      <c r="F305" s="44"/>
      <c r="G305" s="45"/>
      <c r="H305" s="46">
        <f>I305+J305+K305+L305</f>
        <v>0</v>
      </c>
      <c r="I305" s="171">
        <v>0</v>
      </c>
      <c r="J305" s="49"/>
      <c r="K305" s="49"/>
      <c r="L305" s="49"/>
      <c r="M305" s="49">
        <f t="shared" ref="M305:M322" si="82">J305+K305+L305</f>
        <v>0</v>
      </c>
      <c r="N305" s="99"/>
      <c r="O305" s="99"/>
      <c r="P305" s="99"/>
      <c r="Q305" s="99"/>
      <c r="R305" s="425" t="s">
        <v>94</v>
      </c>
    </row>
    <row r="306" spans="1:18" x14ac:dyDescent="0.2">
      <c r="A306" s="417"/>
      <c r="B306" s="447"/>
      <c r="C306" s="43" t="s">
        <v>24</v>
      </c>
      <c r="D306" s="98">
        <v>2206</v>
      </c>
      <c r="E306" s="98">
        <v>2509.59</v>
      </c>
      <c r="F306" s="44">
        <v>6.3</v>
      </c>
      <c r="G306" s="45">
        <v>7</v>
      </c>
      <c r="H306" s="46">
        <f>I306+J306+K306+L306</f>
        <v>7800</v>
      </c>
      <c r="I306" s="171">
        <v>0</v>
      </c>
      <c r="J306" s="49">
        <v>7800</v>
      </c>
      <c r="K306" s="49"/>
      <c r="L306" s="49"/>
      <c r="M306" s="49">
        <f t="shared" si="82"/>
        <v>7800</v>
      </c>
      <c r="N306" s="99" t="s">
        <v>28</v>
      </c>
      <c r="O306" s="99" t="s">
        <v>31</v>
      </c>
      <c r="P306" s="99"/>
      <c r="Q306" s="99"/>
      <c r="R306" s="425"/>
    </row>
    <row r="307" spans="1:18" x14ac:dyDescent="0.2">
      <c r="A307" s="417"/>
      <c r="B307" s="447"/>
      <c r="C307" s="43" t="s">
        <v>25</v>
      </c>
      <c r="D307" s="98"/>
      <c r="E307" s="67"/>
      <c r="F307" s="44"/>
      <c r="G307" s="45"/>
      <c r="H307" s="46">
        <f>I307+J307+K307+L307</f>
        <v>27000</v>
      </c>
      <c r="I307" s="171">
        <v>0</v>
      </c>
      <c r="J307" s="49"/>
      <c r="K307" s="49">
        <v>27000</v>
      </c>
      <c r="L307" s="49"/>
      <c r="M307" s="49">
        <f t="shared" si="82"/>
        <v>27000</v>
      </c>
      <c r="N307" s="99"/>
      <c r="O307" s="99"/>
      <c r="P307" s="99" t="s">
        <v>28</v>
      </c>
      <c r="Q307" s="99" t="s">
        <v>51</v>
      </c>
      <c r="R307" s="425"/>
    </row>
    <row r="308" spans="1:18" x14ac:dyDescent="0.2">
      <c r="A308" s="417"/>
      <c r="B308" s="447"/>
      <c r="C308" s="43" t="s">
        <v>38</v>
      </c>
      <c r="D308" s="98"/>
      <c r="E308" s="67"/>
      <c r="F308" s="44"/>
      <c r="G308" s="45"/>
      <c r="H308" s="46">
        <f>I308+J308+K308+L308</f>
        <v>0</v>
      </c>
      <c r="I308" s="171">
        <v>0</v>
      </c>
      <c r="J308" s="49"/>
      <c r="K308" s="49"/>
      <c r="L308" s="49"/>
      <c r="M308" s="49">
        <f t="shared" si="82"/>
        <v>0</v>
      </c>
      <c r="N308" s="99"/>
      <c r="O308" s="99"/>
      <c r="P308" s="99"/>
      <c r="Q308" s="99"/>
      <c r="R308" s="425"/>
    </row>
    <row r="309" spans="1:18" x14ac:dyDescent="0.2">
      <c r="A309" s="417"/>
      <c r="B309" s="447"/>
      <c r="C309" s="43" t="s">
        <v>39</v>
      </c>
      <c r="D309" s="98"/>
      <c r="E309" s="98"/>
      <c r="F309" s="44"/>
      <c r="G309" s="45"/>
      <c r="H309" s="46">
        <f>I309+J309+K309+L309</f>
        <v>0</v>
      </c>
      <c r="I309" s="171">
        <v>0</v>
      </c>
      <c r="J309" s="49"/>
      <c r="K309" s="49"/>
      <c r="L309" s="49"/>
      <c r="M309" s="49">
        <f t="shared" si="82"/>
        <v>0</v>
      </c>
      <c r="N309" s="180"/>
      <c r="O309" s="180"/>
      <c r="P309" s="180"/>
      <c r="Q309" s="180"/>
      <c r="R309" s="425"/>
    </row>
    <row r="310" spans="1:18" x14ac:dyDescent="0.2">
      <c r="A310" s="417"/>
      <c r="B310" s="447"/>
      <c r="C310" s="43" t="s">
        <v>26</v>
      </c>
      <c r="D310" s="44">
        <f t="shared" ref="D310:J310" si="83">SUM(D305:D309)</f>
        <v>2206</v>
      </c>
      <c r="E310" s="44">
        <f t="shared" si="83"/>
        <v>2509.59</v>
      </c>
      <c r="F310" s="44">
        <f t="shared" si="83"/>
        <v>6.3</v>
      </c>
      <c r="G310" s="45">
        <f t="shared" si="83"/>
        <v>7</v>
      </c>
      <c r="H310" s="181">
        <f>SUM(H305:H309)</f>
        <v>34800</v>
      </c>
      <c r="I310" s="181">
        <f t="shared" si="83"/>
        <v>0</v>
      </c>
      <c r="J310" s="182">
        <f t="shared" si="83"/>
        <v>7800</v>
      </c>
      <c r="K310" s="182">
        <f>SUM(K305:K309)</f>
        <v>27000</v>
      </c>
      <c r="L310" s="182">
        <f>SUM(L305:L309)</f>
        <v>0</v>
      </c>
      <c r="M310" s="49">
        <f t="shared" si="82"/>
        <v>34800</v>
      </c>
      <c r="N310" s="99"/>
      <c r="O310" s="99"/>
      <c r="P310" s="99"/>
      <c r="Q310" s="99"/>
      <c r="R310" s="425"/>
    </row>
    <row r="311" spans="1:18" x14ac:dyDescent="0.2">
      <c r="A311" s="417">
        <v>37</v>
      </c>
      <c r="B311" s="447" t="s">
        <v>72</v>
      </c>
      <c r="C311" s="43">
        <v>2019</v>
      </c>
      <c r="D311" s="98"/>
      <c r="E311" s="67"/>
      <c r="F311" s="44"/>
      <c r="G311" s="45"/>
      <c r="H311" s="46">
        <f>I311+J311+K311+L311</f>
        <v>0</v>
      </c>
      <c r="I311" s="171">
        <v>0</v>
      </c>
      <c r="J311" s="49"/>
      <c r="K311" s="49"/>
      <c r="L311" s="49"/>
      <c r="M311" s="49">
        <f t="shared" si="82"/>
        <v>0</v>
      </c>
      <c r="N311" s="99"/>
      <c r="O311" s="99"/>
      <c r="P311" s="99"/>
      <c r="Q311" s="99"/>
      <c r="R311" s="435"/>
    </row>
    <row r="312" spans="1:18" x14ac:dyDescent="0.2">
      <c r="A312" s="417"/>
      <c r="B312" s="447"/>
      <c r="C312" s="43" t="s">
        <v>24</v>
      </c>
      <c r="D312" s="98"/>
      <c r="E312" s="67"/>
      <c r="F312" s="44"/>
      <c r="G312" s="45"/>
      <c r="H312" s="46">
        <f>I312+J312+K312+L312</f>
        <v>0</v>
      </c>
      <c r="I312" s="171">
        <v>0</v>
      </c>
      <c r="J312" s="49"/>
      <c r="K312" s="49"/>
      <c r="L312" s="49"/>
      <c r="M312" s="49">
        <f t="shared" si="82"/>
        <v>0</v>
      </c>
      <c r="N312" s="99"/>
      <c r="O312" s="99"/>
      <c r="P312" s="99"/>
      <c r="Q312" s="99"/>
      <c r="R312" s="435"/>
    </row>
    <row r="313" spans="1:18" x14ac:dyDescent="0.2">
      <c r="A313" s="417"/>
      <c r="B313" s="447"/>
      <c r="C313" s="43" t="s">
        <v>25</v>
      </c>
      <c r="D313" s="98"/>
      <c r="E313" s="98"/>
      <c r="F313" s="44"/>
      <c r="G313" s="45"/>
      <c r="H313" s="46">
        <f>I313+J313+K313+L313</f>
        <v>0</v>
      </c>
      <c r="I313" s="171">
        <v>0</v>
      </c>
      <c r="J313" s="49"/>
      <c r="K313" s="49"/>
      <c r="L313" s="49"/>
      <c r="M313" s="49">
        <f t="shared" si="82"/>
        <v>0</v>
      </c>
      <c r="N313" s="99"/>
      <c r="O313" s="99"/>
      <c r="P313" s="99"/>
      <c r="Q313" s="99"/>
      <c r="R313" s="435"/>
    </row>
    <row r="314" spans="1:18" ht="14.25" customHeight="1" x14ac:dyDescent="0.2">
      <c r="A314" s="417"/>
      <c r="B314" s="447"/>
      <c r="C314" s="43" t="s">
        <v>38</v>
      </c>
      <c r="D314" s="98">
        <v>55</v>
      </c>
      <c r="E314" s="57">
        <f>64.254+12.87</f>
        <v>77.124000000000009</v>
      </c>
      <c r="F314" s="58">
        <v>0.18079999999999999</v>
      </c>
      <c r="G314" s="45">
        <v>2.5</v>
      </c>
      <c r="H314" s="46">
        <f>I314+J314+K314+L314</f>
        <v>5000</v>
      </c>
      <c r="I314" s="171">
        <v>0</v>
      </c>
      <c r="J314" s="49">
        <v>3000</v>
      </c>
      <c r="K314" s="49">
        <v>2000</v>
      </c>
      <c r="L314" s="49"/>
      <c r="M314" s="49">
        <f t="shared" si="82"/>
        <v>5000</v>
      </c>
      <c r="N314" s="99" t="s">
        <v>28</v>
      </c>
      <c r="O314" s="99" t="s">
        <v>57</v>
      </c>
      <c r="P314" s="99" t="s">
        <v>55</v>
      </c>
      <c r="Q314" s="99"/>
      <c r="R314" s="435"/>
    </row>
    <row r="315" spans="1:18" x14ac:dyDescent="0.2">
      <c r="A315" s="417"/>
      <c r="B315" s="447"/>
      <c r="C315" s="43" t="s">
        <v>39</v>
      </c>
      <c r="D315" s="98"/>
      <c r="E315" s="98"/>
      <c r="F315" s="44"/>
      <c r="G315" s="45"/>
      <c r="H315" s="46">
        <f>I315+J315+K315+L315</f>
        <v>8000</v>
      </c>
      <c r="I315" s="171">
        <v>0</v>
      </c>
      <c r="J315" s="49"/>
      <c r="K315" s="49">
        <v>8000</v>
      </c>
      <c r="L315" s="49"/>
      <c r="M315" s="49">
        <f t="shared" si="82"/>
        <v>8000</v>
      </c>
      <c r="N315" s="99"/>
      <c r="O315" s="99"/>
      <c r="P315" s="99"/>
      <c r="Q315" s="99" t="s">
        <v>54</v>
      </c>
      <c r="R315" s="435"/>
    </row>
    <row r="316" spans="1:18" x14ac:dyDescent="0.2">
      <c r="A316" s="417"/>
      <c r="B316" s="447"/>
      <c r="C316" s="43" t="s">
        <v>26</v>
      </c>
      <c r="D316" s="44">
        <f t="shared" ref="D316:L316" si="84">SUM(D311:D315)</f>
        <v>55</v>
      </c>
      <c r="E316" s="58">
        <f t="shared" si="84"/>
        <v>77.124000000000009</v>
      </c>
      <c r="F316" s="58">
        <f t="shared" si="84"/>
        <v>0.18079999999999999</v>
      </c>
      <c r="G316" s="45">
        <f t="shared" si="84"/>
        <v>2.5</v>
      </c>
      <c r="H316" s="181">
        <f t="shared" si="84"/>
        <v>13000</v>
      </c>
      <c r="I316" s="181">
        <f t="shared" si="84"/>
        <v>0</v>
      </c>
      <c r="J316" s="182">
        <f t="shared" si="84"/>
        <v>3000</v>
      </c>
      <c r="K316" s="182">
        <f t="shared" si="84"/>
        <v>10000</v>
      </c>
      <c r="L316" s="182">
        <f t="shared" si="84"/>
        <v>0</v>
      </c>
      <c r="M316" s="49">
        <f t="shared" si="82"/>
        <v>13000</v>
      </c>
      <c r="N316" s="99"/>
      <c r="O316" s="99"/>
      <c r="P316" s="99"/>
      <c r="Q316" s="99"/>
      <c r="R316" s="435"/>
    </row>
    <row r="317" spans="1:18" ht="12.75" customHeight="1" x14ac:dyDescent="0.2">
      <c r="A317" s="426" t="s">
        <v>29</v>
      </c>
      <c r="B317" s="426"/>
      <c r="C317" s="43">
        <v>2019</v>
      </c>
      <c r="D317" s="38">
        <f>D305+D311</f>
        <v>0</v>
      </c>
      <c r="E317" s="38">
        <f t="shared" ref="E317:L319" si="85">E305+E311</f>
        <v>0</v>
      </c>
      <c r="F317" s="38">
        <f t="shared" si="85"/>
        <v>0</v>
      </c>
      <c r="G317" s="38">
        <f t="shared" si="85"/>
        <v>0</v>
      </c>
      <c r="H317" s="38">
        <f t="shared" si="85"/>
        <v>0</v>
      </c>
      <c r="I317" s="38">
        <f t="shared" si="85"/>
        <v>0</v>
      </c>
      <c r="J317" s="38">
        <f t="shared" si="85"/>
        <v>0</v>
      </c>
      <c r="K317" s="38">
        <f t="shared" si="85"/>
        <v>0</v>
      </c>
      <c r="L317" s="38">
        <f t="shared" si="85"/>
        <v>0</v>
      </c>
      <c r="M317" s="49">
        <f t="shared" si="82"/>
        <v>0</v>
      </c>
      <c r="N317" s="99"/>
      <c r="O317" s="99"/>
      <c r="P317" s="99"/>
      <c r="Q317" s="99"/>
      <c r="R317" s="422"/>
    </row>
    <row r="318" spans="1:18" ht="12.75" customHeight="1" x14ac:dyDescent="0.2">
      <c r="A318" s="426"/>
      <c r="B318" s="426"/>
      <c r="C318" s="43" t="s">
        <v>24</v>
      </c>
      <c r="D318" s="38">
        <f>D306+D312</f>
        <v>2206</v>
      </c>
      <c r="E318" s="38">
        <f t="shared" si="85"/>
        <v>2509.59</v>
      </c>
      <c r="F318" s="38">
        <f t="shared" si="85"/>
        <v>6.3</v>
      </c>
      <c r="G318" s="38">
        <f t="shared" si="85"/>
        <v>7</v>
      </c>
      <c r="H318" s="38">
        <f t="shared" si="85"/>
        <v>7800</v>
      </c>
      <c r="I318" s="38">
        <f t="shared" si="85"/>
        <v>0</v>
      </c>
      <c r="J318" s="38">
        <f t="shared" si="85"/>
        <v>7800</v>
      </c>
      <c r="K318" s="38">
        <f t="shared" si="85"/>
        <v>0</v>
      </c>
      <c r="L318" s="38">
        <f t="shared" si="85"/>
        <v>0</v>
      </c>
      <c r="M318" s="49">
        <f t="shared" si="82"/>
        <v>7800</v>
      </c>
      <c r="N318" s="99"/>
      <c r="O318" s="99"/>
      <c r="P318" s="99"/>
      <c r="Q318" s="99"/>
      <c r="R318" s="422"/>
    </row>
    <row r="319" spans="1:18" ht="12.75" customHeight="1" x14ac:dyDescent="0.2">
      <c r="A319" s="426"/>
      <c r="B319" s="426"/>
      <c r="C319" s="43" t="s">
        <v>25</v>
      </c>
      <c r="D319" s="38">
        <f>D307+D313</f>
        <v>0</v>
      </c>
      <c r="E319" s="38">
        <f t="shared" si="85"/>
        <v>0</v>
      </c>
      <c r="F319" s="38">
        <f t="shared" si="85"/>
        <v>0</v>
      </c>
      <c r="G319" s="38">
        <f t="shared" si="85"/>
        <v>0</v>
      </c>
      <c r="H319" s="38">
        <f t="shared" si="85"/>
        <v>27000</v>
      </c>
      <c r="I319" s="38">
        <f t="shared" si="85"/>
        <v>0</v>
      </c>
      <c r="J319" s="38">
        <f t="shared" si="85"/>
        <v>0</v>
      </c>
      <c r="K319" s="38">
        <f t="shared" si="85"/>
        <v>27000</v>
      </c>
      <c r="L319" s="38">
        <f t="shared" si="85"/>
        <v>0</v>
      </c>
      <c r="M319" s="49">
        <f t="shared" si="82"/>
        <v>27000</v>
      </c>
      <c r="N319" s="99"/>
      <c r="O319" s="99"/>
      <c r="P319" s="99"/>
      <c r="Q319" s="99"/>
      <c r="R319" s="422"/>
    </row>
    <row r="320" spans="1:18" ht="12.75" customHeight="1" x14ac:dyDescent="0.2">
      <c r="A320" s="426"/>
      <c r="B320" s="426"/>
      <c r="C320" s="43" t="s">
        <v>38</v>
      </c>
      <c r="D320" s="38">
        <f t="shared" ref="D320:L321" si="86">D308+D314</f>
        <v>55</v>
      </c>
      <c r="E320" s="38">
        <f t="shared" si="86"/>
        <v>77.124000000000009</v>
      </c>
      <c r="F320" s="38">
        <f t="shared" si="86"/>
        <v>0.18079999999999999</v>
      </c>
      <c r="G320" s="38">
        <f t="shared" si="86"/>
        <v>2.5</v>
      </c>
      <c r="H320" s="38">
        <f t="shared" si="86"/>
        <v>5000</v>
      </c>
      <c r="I320" s="38">
        <f t="shared" si="86"/>
        <v>0</v>
      </c>
      <c r="J320" s="38">
        <f t="shared" si="86"/>
        <v>3000</v>
      </c>
      <c r="K320" s="38">
        <f t="shared" si="86"/>
        <v>2000</v>
      </c>
      <c r="L320" s="38">
        <f t="shared" si="86"/>
        <v>0</v>
      </c>
      <c r="M320" s="49">
        <f t="shared" si="82"/>
        <v>5000</v>
      </c>
      <c r="N320" s="99"/>
      <c r="O320" s="99"/>
      <c r="P320" s="99"/>
      <c r="Q320" s="99"/>
      <c r="R320" s="422"/>
    </row>
    <row r="321" spans="1:18" ht="12.75" customHeight="1" x14ac:dyDescent="0.2">
      <c r="A321" s="426"/>
      <c r="B321" s="426"/>
      <c r="C321" s="43" t="s">
        <v>39</v>
      </c>
      <c r="D321" s="38">
        <f t="shared" si="86"/>
        <v>0</v>
      </c>
      <c r="E321" s="38">
        <f t="shared" si="86"/>
        <v>0</v>
      </c>
      <c r="F321" s="38">
        <f t="shared" si="86"/>
        <v>0</v>
      </c>
      <c r="G321" s="38">
        <f t="shared" si="86"/>
        <v>0</v>
      </c>
      <c r="H321" s="38">
        <f t="shared" si="86"/>
        <v>8000</v>
      </c>
      <c r="I321" s="38">
        <f t="shared" si="86"/>
        <v>0</v>
      </c>
      <c r="J321" s="38">
        <f t="shared" si="86"/>
        <v>0</v>
      </c>
      <c r="K321" s="38">
        <f t="shared" si="86"/>
        <v>8000</v>
      </c>
      <c r="L321" s="38">
        <f t="shared" si="86"/>
        <v>0</v>
      </c>
      <c r="M321" s="49">
        <f t="shared" si="82"/>
        <v>8000</v>
      </c>
      <c r="N321" s="99"/>
      <c r="O321" s="99"/>
      <c r="P321" s="99"/>
      <c r="Q321" s="99"/>
      <c r="R321" s="422"/>
    </row>
    <row r="322" spans="1:18" ht="17.25" customHeight="1" x14ac:dyDescent="0.2">
      <c r="A322" s="426"/>
      <c r="B322" s="426"/>
      <c r="C322" s="43" t="s">
        <v>12</v>
      </c>
      <c r="D322" s="159">
        <f>SUM(D317:D321)</f>
        <v>2261</v>
      </c>
      <c r="E322" s="159">
        <f t="shared" ref="E322:L322" si="87">SUM(E317:E321)</f>
        <v>2586.7139999999999</v>
      </c>
      <c r="F322" s="159">
        <f t="shared" si="87"/>
        <v>6.4807999999999995</v>
      </c>
      <c r="G322" s="159">
        <f t="shared" si="87"/>
        <v>9.5</v>
      </c>
      <c r="H322" s="159">
        <f t="shared" si="87"/>
        <v>47800</v>
      </c>
      <c r="I322" s="159">
        <f t="shared" si="87"/>
        <v>0</v>
      </c>
      <c r="J322" s="159">
        <f t="shared" si="87"/>
        <v>10800</v>
      </c>
      <c r="K322" s="159">
        <f t="shared" si="87"/>
        <v>37000</v>
      </c>
      <c r="L322" s="159">
        <f t="shared" si="87"/>
        <v>0</v>
      </c>
      <c r="M322" s="49">
        <f t="shared" si="82"/>
        <v>47800</v>
      </c>
      <c r="N322" s="99"/>
      <c r="O322" s="99"/>
      <c r="P322" s="99"/>
      <c r="Q322" s="99"/>
      <c r="R322" s="422"/>
    </row>
    <row r="323" spans="1:18" x14ac:dyDescent="0.2">
      <c r="A323" s="427" t="s">
        <v>10</v>
      </c>
      <c r="B323" s="428"/>
      <c r="C323" s="66"/>
      <c r="D323" s="67"/>
      <c r="E323" s="98"/>
      <c r="F323" s="67"/>
      <c r="G323" s="67"/>
      <c r="H323" s="163"/>
      <c r="I323" s="66"/>
      <c r="J323" s="68"/>
      <c r="K323" s="68"/>
      <c r="L323" s="68"/>
      <c r="M323" s="68"/>
      <c r="N323" s="66"/>
      <c r="O323" s="66"/>
      <c r="P323" s="66"/>
      <c r="Q323" s="66"/>
    </row>
    <row r="324" spans="1:18" x14ac:dyDescent="0.2">
      <c r="A324" s="417">
        <v>38</v>
      </c>
      <c r="B324" s="418" t="s">
        <v>13</v>
      </c>
      <c r="C324" s="43">
        <v>2019</v>
      </c>
      <c r="D324" s="98">
        <v>120</v>
      </c>
      <c r="E324" s="98">
        <v>17591.3</v>
      </c>
      <c r="F324" s="44">
        <v>33.4</v>
      </c>
      <c r="G324" s="45">
        <v>4.6500000000000004</v>
      </c>
      <c r="H324" s="74">
        <f>I324+J324+K324+L324</f>
        <v>59184.19</v>
      </c>
      <c r="I324" s="167">
        <v>4865.67</v>
      </c>
      <c r="J324" s="49">
        <v>0</v>
      </c>
      <c r="K324" s="49">
        <f>54205.62+112.9</f>
        <v>54318.520000000004</v>
      </c>
      <c r="L324" s="49"/>
      <c r="M324" s="49">
        <f t="shared" ref="M324:M334" si="88">J324+K324+L324</f>
        <v>54318.520000000004</v>
      </c>
      <c r="N324" s="59">
        <v>42767</v>
      </c>
      <c r="O324" s="59">
        <v>43374</v>
      </c>
      <c r="P324" s="59" t="s">
        <v>28</v>
      </c>
      <c r="Q324" s="59" t="s">
        <v>55</v>
      </c>
      <c r="R324" s="422"/>
    </row>
    <row r="325" spans="1:18" x14ac:dyDescent="0.2">
      <c r="A325" s="417"/>
      <c r="B325" s="418"/>
      <c r="C325" s="43">
        <v>2020</v>
      </c>
      <c r="D325" s="44"/>
      <c r="E325" s="44"/>
      <c r="F325" s="44"/>
      <c r="G325" s="45"/>
      <c r="H325" s="74">
        <f>I325+J325+K325+L325</f>
        <v>0</v>
      </c>
      <c r="I325" s="167"/>
      <c r="J325" s="49"/>
      <c r="K325" s="49"/>
      <c r="L325" s="49"/>
      <c r="M325" s="49">
        <f t="shared" si="88"/>
        <v>0</v>
      </c>
      <c r="N325" s="99"/>
      <c r="O325" s="99"/>
      <c r="P325" s="99"/>
      <c r="Q325" s="99"/>
      <c r="R325" s="422"/>
    </row>
    <row r="326" spans="1:18" x14ac:dyDescent="0.2">
      <c r="A326" s="417"/>
      <c r="B326" s="418"/>
      <c r="C326" s="43">
        <v>2021</v>
      </c>
      <c r="D326" s="44"/>
      <c r="E326" s="44"/>
      <c r="F326" s="44"/>
      <c r="G326" s="45"/>
      <c r="H326" s="74">
        <f>I326+J326+K326+L326</f>
        <v>0</v>
      </c>
      <c r="I326" s="167"/>
      <c r="J326" s="49"/>
      <c r="K326" s="49"/>
      <c r="L326" s="49"/>
      <c r="M326" s="49">
        <f t="shared" si="88"/>
        <v>0</v>
      </c>
      <c r="N326" s="99"/>
      <c r="O326" s="99"/>
      <c r="P326" s="99"/>
      <c r="Q326" s="99"/>
      <c r="R326" s="422"/>
    </row>
    <row r="327" spans="1:18" x14ac:dyDescent="0.2">
      <c r="A327" s="417"/>
      <c r="B327" s="418"/>
      <c r="C327" s="43">
        <v>2022</v>
      </c>
      <c r="D327" s="44"/>
      <c r="E327" s="44"/>
      <c r="F327" s="44"/>
      <c r="G327" s="45"/>
      <c r="H327" s="74">
        <f>I327+J327+K327+L327</f>
        <v>0</v>
      </c>
      <c r="I327" s="167"/>
      <c r="J327" s="49"/>
      <c r="K327" s="49"/>
      <c r="L327" s="49"/>
      <c r="M327" s="49">
        <f t="shared" si="88"/>
        <v>0</v>
      </c>
      <c r="N327" s="99"/>
      <c r="O327" s="99"/>
      <c r="P327" s="99"/>
      <c r="Q327" s="99"/>
      <c r="R327" s="422"/>
    </row>
    <row r="328" spans="1:18" x14ac:dyDescent="0.2">
      <c r="A328" s="417"/>
      <c r="B328" s="418"/>
      <c r="C328" s="43">
        <v>2023</v>
      </c>
      <c r="D328" s="44"/>
      <c r="E328" s="44"/>
      <c r="F328" s="44"/>
      <c r="G328" s="45"/>
      <c r="H328" s="74">
        <f>I328+J328+K328+L328</f>
        <v>0</v>
      </c>
      <c r="I328" s="167"/>
      <c r="J328" s="49"/>
      <c r="K328" s="49"/>
      <c r="L328" s="49"/>
      <c r="M328" s="49">
        <f t="shared" si="88"/>
        <v>0</v>
      </c>
      <c r="N328" s="99"/>
      <c r="O328" s="99"/>
      <c r="P328" s="99"/>
      <c r="Q328" s="99"/>
      <c r="R328" s="422"/>
    </row>
    <row r="329" spans="1:18" ht="15" customHeight="1" x14ac:dyDescent="0.2">
      <c r="A329" s="417"/>
      <c r="B329" s="418"/>
      <c r="C329" s="43" t="s">
        <v>26</v>
      </c>
      <c r="D329" s="44">
        <f t="shared" ref="D329:L329" si="89">SUM(D324:D328)</f>
        <v>120</v>
      </c>
      <c r="E329" s="44">
        <f t="shared" si="89"/>
        <v>17591.3</v>
      </c>
      <c r="F329" s="44">
        <f t="shared" si="89"/>
        <v>33.4</v>
      </c>
      <c r="G329" s="44">
        <f t="shared" si="89"/>
        <v>4.6500000000000004</v>
      </c>
      <c r="H329" s="74">
        <f t="shared" si="89"/>
        <v>59184.19</v>
      </c>
      <c r="I329" s="47">
        <f t="shared" si="89"/>
        <v>4865.67</v>
      </c>
      <c r="J329" s="49">
        <f t="shared" si="89"/>
        <v>0</v>
      </c>
      <c r="K329" s="49">
        <f t="shared" si="89"/>
        <v>54318.520000000004</v>
      </c>
      <c r="L329" s="49">
        <f t="shared" si="89"/>
        <v>0</v>
      </c>
      <c r="M329" s="49">
        <f t="shared" si="88"/>
        <v>54318.520000000004</v>
      </c>
      <c r="N329" s="99"/>
      <c r="O329" s="99"/>
      <c r="P329" s="99"/>
      <c r="Q329" s="99"/>
      <c r="R329" s="422"/>
    </row>
    <row r="330" spans="1:18" x14ac:dyDescent="0.2">
      <c r="A330" s="417">
        <v>39</v>
      </c>
      <c r="B330" s="447" t="s">
        <v>68</v>
      </c>
      <c r="C330" s="43">
        <v>2019</v>
      </c>
      <c r="D330" s="98"/>
      <c r="E330" s="98"/>
      <c r="F330" s="44"/>
      <c r="G330" s="45"/>
      <c r="H330" s="183">
        <f>I330+J330+K330+L330</f>
        <v>0</v>
      </c>
      <c r="I330" s="171"/>
      <c r="J330" s="49"/>
      <c r="K330" s="49"/>
      <c r="L330" s="49"/>
      <c r="M330" s="49">
        <f t="shared" si="88"/>
        <v>0</v>
      </c>
      <c r="N330" s="99"/>
      <c r="O330" s="99"/>
      <c r="P330" s="99"/>
      <c r="Q330" s="99"/>
      <c r="R330" s="435"/>
    </row>
    <row r="331" spans="1:18" x14ac:dyDescent="0.2">
      <c r="A331" s="417"/>
      <c r="B331" s="447"/>
      <c r="C331" s="43" t="s">
        <v>24</v>
      </c>
      <c r="D331" s="98">
        <v>500</v>
      </c>
      <c r="E331" s="57">
        <v>144</v>
      </c>
      <c r="F331" s="58">
        <v>0.92020000000000002</v>
      </c>
      <c r="G331" s="45">
        <v>34</v>
      </c>
      <c r="H331" s="183">
        <f>I331+J331+K331+L331</f>
        <v>10000</v>
      </c>
      <c r="I331" s="171"/>
      <c r="J331" s="49">
        <v>10000</v>
      </c>
      <c r="K331" s="49"/>
      <c r="L331" s="49"/>
      <c r="M331" s="49">
        <f t="shared" si="88"/>
        <v>10000</v>
      </c>
      <c r="N331" s="99" t="s">
        <v>28</v>
      </c>
      <c r="O331" s="99"/>
      <c r="P331" s="99"/>
      <c r="Q331" s="99"/>
      <c r="R331" s="435"/>
    </row>
    <row r="332" spans="1:18" x14ac:dyDescent="0.2">
      <c r="A332" s="417"/>
      <c r="B332" s="447"/>
      <c r="C332" s="43" t="s">
        <v>25</v>
      </c>
      <c r="D332" s="98"/>
      <c r="E332" s="98"/>
      <c r="F332" s="44"/>
      <c r="G332" s="45"/>
      <c r="H332" s="183">
        <f>I332+J332+K332+L332</f>
        <v>93697</v>
      </c>
      <c r="I332" s="171"/>
      <c r="J332" s="49">
        <v>2697</v>
      </c>
      <c r="K332" s="49">
        <v>91000</v>
      </c>
      <c r="L332" s="49"/>
      <c r="M332" s="49">
        <f t="shared" si="88"/>
        <v>93697</v>
      </c>
      <c r="N332" s="99"/>
      <c r="O332" s="99" t="s">
        <v>47</v>
      </c>
      <c r="P332" s="99" t="s">
        <v>48</v>
      </c>
      <c r="Q332" s="99"/>
      <c r="R332" s="435"/>
    </row>
    <row r="333" spans="1:18" x14ac:dyDescent="0.2">
      <c r="A333" s="417"/>
      <c r="B333" s="447"/>
      <c r="C333" s="43" t="s">
        <v>38</v>
      </c>
      <c r="D333" s="98"/>
      <c r="E333" s="98"/>
      <c r="F333" s="44"/>
      <c r="G333" s="45"/>
      <c r="H333" s="183">
        <f>I333+J333+K333+L333</f>
        <v>4000</v>
      </c>
      <c r="I333" s="171"/>
      <c r="J333" s="49"/>
      <c r="K333" s="49">
        <v>4000</v>
      </c>
      <c r="L333" s="49"/>
      <c r="M333" s="49">
        <f t="shared" si="88"/>
        <v>4000</v>
      </c>
      <c r="N333" s="99"/>
      <c r="O333" s="99"/>
      <c r="P333" s="99"/>
      <c r="Q333" s="99" t="s">
        <v>52</v>
      </c>
      <c r="R333" s="435"/>
    </row>
    <row r="334" spans="1:18" x14ac:dyDescent="0.2">
      <c r="A334" s="417"/>
      <c r="B334" s="447"/>
      <c r="C334" s="43" t="s">
        <v>39</v>
      </c>
      <c r="D334" s="98"/>
      <c r="E334" s="98"/>
      <c r="F334" s="44"/>
      <c r="G334" s="45"/>
      <c r="H334" s="183">
        <f>I334+J334+K334+L334</f>
        <v>0</v>
      </c>
      <c r="I334" s="171"/>
      <c r="J334" s="49"/>
      <c r="K334" s="49"/>
      <c r="L334" s="49"/>
      <c r="M334" s="49">
        <f t="shared" si="88"/>
        <v>0</v>
      </c>
      <c r="N334" s="99"/>
      <c r="O334" s="99"/>
      <c r="P334" s="99"/>
      <c r="Q334" s="99"/>
      <c r="R334" s="435"/>
    </row>
    <row r="335" spans="1:18" x14ac:dyDescent="0.2">
      <c r="A335" s="417"/>
      <c r="B335" s="447"/>
      <c r="C335" s="43" t="s">
        <v>26</v>
      </c>
      <c r="D335" s="44">
        <f t="shared" ref="D335:M335" si="90">SUM(D330:D334)</f>
        <v>500</v>
      </c>
      <c r="E335" s="44">
        <f t="shared" si="90"/>
        <v>144</v>
      </c>
      <c r="F335" s="44">
        <f t="shared" si="90"/>
        <v>0.92020000000000002</v>
      </c>
      <c r="G335" s="45">
        <f t="shared" si="90"/>
        <v>34</v>
      </c>
      <c r="H335" s="73">
        <f t="shared" si="90"/>
        <v>107697</v>
      </c>
      <c r="I335" s="184">
        <f t="shared" si="90"/>
        <v>0</v>
      </c>
      <c r="J335" s="182">
        <f t="shared" si="90"/>
        <v>12697</v>
      </c>
      <c r="K335" s="182">
        <f t="shared" si="90"/>
        <v>95000</v>
      </c>
      <c r="L335" s="182">
        <f t="shared" si="90"/>
        <v>0</v>
      </c>
      <c r="M335" s="182">
        <f t="shared" si="90"/>
        <v>107697</v>
      </c>
      <c r="N335" s="99"/>
      <c r="O335" s="99"/>
      <c r="P335" s="99"/>
      <c r="Q335" s="99"/>
      <c r="R335" s="435"/>
    </row>
    <row r="336" spans="1:18" x14ac:dyDescent="0.2">
      <c r="A336" s="417">
        <v>40</v>
      </c>
      <c r="B336" s="459" t="s">
        <v>61</v>
      </c>
      <c r="C336" s="43">
        <v>2019</v>
      </c>
      <c r="D336" s="98"/>
      <c r="E336" s="98"/>
      <c r="F336" s="44"/>
      <c r="G336" s="45"/>
      <c r="H336" s="46">
        <f>I336+J336+K336+L336</f>
        <v>0</v>
      </c>
      <c r="I336" s="171"/>
      <c r="J336" s="49"/>
      <c r="K336" s="49"/>
      <c r="L336" s="49"/>
      <c r="M336" s="49">
        <f t="shared" ref="M336:M341" si="91">J336+K336+L336</f>
        <v>0</v>
      </c>
      <c r="N336" s="99"/>
      <c r="O336" s="99"/>
      <c r="P336" s="99"/>
      <c r="Q336" s="99"/>
      <c r="R336" s="435"/>
    </row>
    <row r="337" spans="1:18" x14ac:dyDescent="0.2">
      <c r="A337" s="417"/>
      <c r="B337" s="460"/>
      <c r="C337" s="43">
        <v>2020</v>
      </c>
      <c r="D337" s="98"/>
      <c r="E337" s="98"/>
      <c r="F337" s="44"/>
      <c r="G337" s="45"/>
      <c r="H337" s="46">
        <f>I337+J337+K337+L337</f>
        <v>0</v>
      </c>
      <c r="I337" s="171"/>
      <c r="J337" s="49"/>
      <c r="K337" s="49"/>
      <c r="L337" s="49"/>
      <c r="M337" s="49">
        <f t="shared" si="91"/>
        <v>0</v>
      </c>
      <c r="N337" s="99"/>
      <c r="O337" s="99"/>
      <c r="P337" s="99"/>
      <c r="Q337" s="99"/>
      <c r="R337" s="435"/>
    </row>
    <row r="338" spans="1:18" x14ac:dyDescent="0.2">
      <c r="A338" s="417"/>
      <c r="B338" s="460"/>
      <c r="C338" s="43">
        <v>2021</v>
      </c>
      <c r="D338" s="98"/>
      <c r="E338" s="57"/>
      <c r="F338" s="44"/>
      <c r="G338" s="45"/>
      <c r="H338" s="46">
        <f>I338+J338+K338+L338</f>
        <v>0</v>
      </c>
      <c r="I338" s="171"/>
      <c r="J338" s="49"/>
      <c r="K338" s="49"/>
      <c r="L338" s="49"/>
      <c r="M338" s="49">
        <f t="shared" si="91"/>
        <v>0</v>
      </c>
      <c r="N338" s="99"/>
      <c r="O338" s="99"/>
      <c r="P338" s="99"/>
      <c r="Q338" s="99"/>
      <c r="R338" s="435"/>
    </row>
    <row r="339" spans="1:18" x14ac:dyDescent="0.2">
      <c r="A339" s="417"/>
      <c r="B339" s="460"/>
      <c r="C339" s="43">
        <v>2022</v>
      </c>
      <c r="D339" s="98">
        <v>318</v>
      </c>
      <c r="E339" s="57">
        <f>371.5092+74.412</f>
        <v>445.9212</v>
      </c>
      <c r="F339" s="44">
        <v>1.0449999999999999</v>
      </c>
      <c r="G339" s="45">
        <v>14</v>
      </c>
      <c r="H339" s="46">
        <f>I339+J339+K339+L339</f>
        <v>10123.31</v>
      </c>
      <c r="I339" s="171"/>
      <c r="J339" s="49">
        <v>9000</v>
      </c>
      <c r="K339" s="49">
        <v>1123.31</v>
      </c>
      <c r="L339" s="49"/>
      <c r="M339" s="49">
        <f t="shared" si="91"/>
        <v>10123.31</v>
      </c>
      <c r="N339" s="99" t="s">
        <v>28</v>
      </c>
      <c r="O339" s="99" t="s">
        <v>31</v>
      </c>
      <c r="P339" s="99"/>
      <c r="Q339" s="99"/>
      <c r="R339" s="435"/>
    </row>
    <row r="340" spans="1:18" x14ac:dyDescent="0.2">
      <c r="A340" s="417"/>
      <c r="B340" s="460"/>
      <c r="C340" s="43">
        <v>2023</v>
      </c>
      <c r="D340" s="98"/>
      <c r="E340" s="98"/>
      <c r="F340" s="44"/>
      <c r="G340" s="45"/>
      <c r="H340" s="46">
        <f>I340+J340+K340+L340</f>
        <v>58000</v>
      </c>
      <c r="I340" s="171"/>
      <c r="J340" s="49"/>
      <c r="K340" s="49">
        <v>58000</v>
      </c>
      <c r="L340" s="49"/>
      <c r="M340" s="49">
        <f t="shared" si="91"/>
        <v>58000</v>
      </c>
      <c r="N340" s="99"/>
      <c r="O340" s="99"/>
      <c r="P340" s="99" t="s">
        <v>28</v>
      </c>
      <c r="Q340" s="99" t="s">
        <v>31</v>
      </c>
      <c r="R340" s="435"/>
    </row>
    <row r="341" spans="1:18" x14ac:dyDescent="0.2">
      <c r="A341" s="417"/>
      <c r="B341" s="461"/>
      <c r="C341" s="43" t="s">
        <v>26</v>
      </c>
      <c r="D341" s="45">
        <f>SUM(D336:D340)</f>
        <v>318</v>
      </c>
      <c r="E341" s="45">
        <f>SUM(E336:E340)</f>
        <v>445.9212</v>
      </c>
      <c r="F341" s="45">
        <f t="shared" ref="F341:L341" si="92">SUM(F336:F340)</f>
        <v>1.0449999999999999</v>
      </c>
      <c r="G341" s="45">
        <f t="shared" si="92"/>
        <v>14</v>
      </c>
      <c r="H341" s="184">
        <f>SUM(H336:H340)</f>
        <v>68123.31</v>
      </c>
      <c r="I341" s="45">
        <f t="shared" si="92"/>
        <v>0</v>
      </c>
      <c r="J341" s="182">
        <f t="shared" si="92"/>
        <v>9000</v>
      </c>
      <c r="K341" s="182">
        <f>SUM(K336:K340)</f>
        <v>59123.31</v>
      </c>
      <c r="L341" s="182">
        <f t="shared" si="92"/>
        <v>0</v>
      </c>
      <c r="M341" s="182">
        <f t="shared" si="91"/>
        <v>68123.31</v>
      </c>
      <c r="N341" s="99"/>
      <c r="O341" s="99"/>
      <c r="P341" s="99"/>
      <c r="Q341" s="99"/>
      <c r="R341" s="435"/>
    </row>
    <row r="342" spans="1:18" ht="13.5" customHeight="1" x14ac:dyDescent="0.2">
      <c r="A342" s="417">
        <v>41</v>
      </c>
      <c r="B342" s="447" t="s">
        <v>165</v>
      </c>
      <c r="C342" s="43">
        <v>2019</v>
      </c>
      <c r="D342" s="98"/>
      <c r="E342" s="98"/>
      <c r="F342" s="44"/>
      <c r="G342" s="45">
        <v>0</v>
      </c>
      <c r="H342" s="48">
        <f>J342+K342+L342+I342</f>
        <v>0</v>
      </c>
      <c r="I342" s="47"/>
      <c r="J342" s="74"/>
      <c r="K342" s="74"/>
      <c r="L342" s="74"/>
      <c r="M342" s="74">
        <f>J342+K342+L342</f>
        <v>0</v>
      </c>
      <c r="N342" s="99"/>
      <c r="O342" s="99"/>
      <c r="P342" s="99"/>
      <c r="Q342" s="99"/>
      <c r="R342" s="457"/>
    </row>
    <row r="343" spans="1:18" ht="13.5" customHeight="1" x14ac:dyDescent="0.2">
      <c r="A343" s="417"/>
      <c r="B343" s="447"/>
      <c r="C343" s="43" t="s">
        <v>24</v>
      </c>
      <c r="D343" s="98"/>
      <c r="E343" s="98"/>
      <c r="F343" s="44"/>
      <c r="G343" s="45"/>
      <c r="H343" s="48">
        <f>J343+K343+L343+I343</f>
        <v>0</v>
      </c>
      <c r="I343" s="47"/>
      <c r="J343" s="74"/>
      <c r="K343" s="74"/>
      <c r="L343" s="74"/>
      <c r="M343" s="74">
        <f>J343+K343+L343</f>
        <v>0</v>
      </c>
      <c r="N343" s="99"/>
      <c r="O343" s="99"/>
      <c r="P343" s="99"/>
      <c r="Q343" s="99"/>
      <c r="R343" s="457"/>
    </row>
    <row r="344" spans="1:18" ht="13.5" customHeight="1" x14ac:dyDescent="0.2">
      <c r="A344" s="417"/>
      <c r="B344" s="447"/>
      <c r="C344" s="43" t="s">
        <v>25</v>
      </c>
      <c r="D344" s="98"/>
      <c r="E344" s="98"/>
      <c r="F344" s="44"/>
      <c r="G344" s="45"/>
      <c r="H344" s="48">
        <f>J344+K344+L344+I344</f>
        <v>0</v>
      </c>
      <c r="I344" s="47"/>
      <c r="J344" s="74"/>
      <c r="K344" s="74"/>
      <c r="L344" s="74"/>
      <c r="M344" s="74">
        <f>J344+K344+L344</f>
        <v>0</v>
      </c>
      <c r="N344" s="99"/>
      <c r="O344" s="99"/>
      <c r="P344" s="99"/>
      <c r="Q344" s="99"/>
      <c r="R344" s="457"/>
    </row>
    <row r="345" spans="1:18" ht="13.5" customHeight="1" x14ac:dyDescent="0.2">
      <c r="A345" s="417"/>
      <c r="B345" s="447"/>
      <c r="C345" s="43" t="s">
        <v>38</v>
      </c>
      <c r="D345" s="98">
        <v>362</v>
      </c>
      <c r="E345" s="57">
        <f>292.066+58.5</f>
        <v>350.56599999999997</v>
      </c>
      <c r="F345" s="58">
        <f>0.8218</f>
        <v>0.82179999999999997</v>
      </c>
      <c r="G345" s="45">
        <v>4.5</v>
      </c>
      <c r="H345" s="48">
        <f>J345+K345+L345+I345</f>
        <v>17817</v>
      </c>
      <c r="I345" s="47"/>
      <c r="J345" s="74">
        <v>7817</v>
      </c>
      <c r="K345" s="74">
        <v>10000</v>
      </c>
      <c r="L345" s="74"/>
      <c r="M345" s="74">
        <f>J345+K345+L345</f>
        <v>17817</v>
      </c>
      <c r="N345" s="99" t="s">
        <v>28</v>
      </c>
      <c r="O345" s="99" t="s">
        <v>57</v>
      </c>
      <c r="P345" s="99" t="s">
        <v>31</v>
      </c>
      <c r="Q345" s="99"/>
      <c r="R345" s="457"/>
    </row>
    <row r="346" spans="1:18" s="185" customFormat="1" ht="13.5" customHeight="1" x14ac:dyDescent="0.2">
      <c r="A346" s="417"/>
      <c r="B346" s="447"/>
      <c r="C346" s="75" t="s">
        <v>39</v>
      </c>
      <c r="D346" s="76"/>
      <c r="E346" s="76"/>
      <c r="F346" s="50"/>
      <c r="G346" s="51"/>
      <c r="H346" s="77">
        <f>J346+K346+L346+I346</f>
        <v>13250</v>
      </c>
      <c r="I346" s="78"/>
      <c r="J346" s="79"/>
      <c r="K346" s="79">
        <f>15750-2500</f>
        <v>13250</v>
      </c>
      <c r="L346" s="79"/>
      <c r="M346" s="79">
        <f>J346+K346+L346</f>
        <v>13250</v>
      </c>
      <c r="N346" s="80"/>
      <c r="O346" s="80"/>
      <c r="P346" s="80"/>
      <c r="Q346" s="80" t="s">
        <v>53</v>
      </c>
      <c r="R346" s="457"/>
    </row>
    <row r="347" spans="1:18" ht="13.5" customHeight="1" x14ac:dyDescent="0.2">
      <c r="A347" s="417"/>
      <c r="B347" s="447"/>
      <c r="C347" s="43" t="s">
        <v>26</v>
      </c>
      <c r="D347" s="38">
        <f>SUM(D342:D346)</f>
        <v>362</v>
      </c>
      <c r="E347" s="38">
        <f t="shared" ref="E347:L347" si="93">SUM(E342:E346)</f>
        <v>350.56599999999997</v>
      </c>
      <c r="F347" s="38">
        <f t="shared" si="93"/>
        <v>0.82179999999999997</v>
      </c>
      <c r="G347" s="38">
        <f t="shared" si="93"/>
        <v>4.5</v>
      </c>
      <c r="H347" s="38">
        <f t="shared" si="93"/>
        <v>31067</v>
      </c>
      <c r="I347" s="38">
        <f t="shared" si="93"/>
        <v>0</v>
      </c>
      <c r="J347" s="38">
        <f t="shared" si="93"/>
        <v>7817</v>
      </c>
      <c r="K347" s="38">
        <f t="shared" si="93"/>
        <v>23250</v>
      </c>
      <c r="L347" s="38">
        <f t="shared" si="93"/>
        <v>0</v>
      </c>
      <c r="M347" s="38">
        <f>SUM(M342:M346)</f>
        <v>31067</v>
      </c>
      <c r="N347" s="99"/>
      <c r="O347" s="99"/>
      <c r="P347" s="99"/>
      <c r="Q347" s="99"/>
      <c r="R347" s="457"/>
    </row>
    <row r="348" spans="1:18" ht="13.5" customHeight="1" x14ac:dyDescent="0.2">
      <c r="A348" s="417">
        <v>42</v>
      </c>
      <c r="B348" s="447" t="s">
        <v>83</v>
      </c>
      <c r="C348" s="43">
        <v>2019</v>
      </c>
      <c r="D348" s="98">
        <v>65</v>
      </c>
      <c r="E348" s="98">
        <v>161.88999999999999</v>
      </c>
      <c r="F348" s="44">
        <v>0.82</v>
      </c>
      <c r="G348" s="45">
        <v>3.5</v>
      </c>
      <c r="H348" s="48">
        <f>J348+K348+L348+I348</f>
        <v>1152.92</v>
      </c>
      <c r="I348" s="47"/>
      <c r="J348" s="74">
        <v>1152.92</v>
      </c>
      <c r="K348" s="74"/>
      <c r="L348" s="74"/>
      <c r="M348" s="74">
        <f>J348+K348+L348</f>
        <v>1152.92</v>
      </c>
      <c r="N348" s="99" t="s">
        <v>48</v>
      </c>
      <c r="O348" s="99"/>
      <c r="P348" s="99"/>
      <c r="Q348" s="99"/>
      <c r="R348" s="458" t="s">
        <v>93</v>
      </c>
    </row>
    <row r="349" spans="1:18" ht="13.5" customHeight="1" x14ac:dyDescent="0.2">
      <c r="A349" s="417"/>
      <c r="B349" s="447"/>
      <c r="C349" s="43" t="s">
        <v>24</v>
      </c>
      <c r="D349" s="98"/>
      <c r="E349" s="98"/>
      <c r="F349" s="44"/>
      <c r="G349" s="45"/>
      <c r="H349" s="48">
        <f>J349+K349+L349+I349</f>
        <v>8471.9500000000007</v>
      </c>
      <c r="I349" s="47"/>
      <c r="J349" s="74">
        <v>900</v>
      </c>
      <c r="K349" s="74">
        <f>9624.87-J349-J348</f>
        <v>7571.9500000000007</v>
      </c>
      <c r="L349" s="74"/>
      <c r="M349" s="74">
        <f>J349+K349+L349</f>
        <v>8471.9500000000007</v>
      </c>
      <c r="N349" s="99"/>
      <c r="O349" s="99" t="s">
        <v>47</v>
      </c>
      <c r="P349" s="99" t="s">
        <v>48</v>
      </c>
      <c r="Q349" s="99" t="s">
        <v>53</v>
      </c>
      <c r="R349" s="458"/>
    </row>
    <row r="350" spans="1:18" ht="13.5" customHeight="1" x14ac:dyDescent="0.2">
      <c r="A350" s="417"/>
      <c r="B350" s="447"/>
      <c r="C350" s="43" t="s">
        <v>25</v>
      </c>
      <c r="D350" s="98"/>
      <c r="E350" s="98"/>
      <c r="F350" s="44"/>
      <c r="G350" s="45"/>
      <c r="H350" s="48">
        <f>J350+K350+L350+I350</f>
        <v>0</v>
      </c>
      <c r="I350" s="47"/>
      <c r="J350" s="74"/>
      <c r="K350" s="74"/>
      <c r="L350" s="74"/>
      <c r="M350" s="74">
        <f>J350+K350+L350</f>
        <v>0</v>
      </c>
      <c r="N350" s="99"/>
      <c r="O350" s="99"/>
      <c r="P350" s="99"/>
      <c r="Q350" s="99"/>
      <c r="R350" s="458"/>
    </row>
    <row r="351" spans="1:18" ht="13.5" customHeight="1" x14ac:dyDescent="0.2">
      <c r="A351" s="417"/>
      <c r="B351" s="447"/>
      <c r="C351" s="43" t="s">
        <v>38</v>
      </c>
      <c r="D351" s="98"/>
      <c r="E351" s="57"/>
      <c r="F351" s="58"/>
      <c r="G351" s="45"/>
      <c r="H351" s="48">
        <f>J351+K351+L351+I351</f>
        <v>0</v>
      </c>
      <c r="I351" s="47"/>
      <c r="J351" s="74"/>
      <c r="K351" s="74"/>
      <c r="L351" s="74"/>
      <c r="M351" s="74">
        <f>J351+K351+L351</f>
        <v>0</v>
      </c>
      <c r="N351" s="99"/>
      <c r="O351" s="99"/>
      <c r="P351" s="99"/>
      <c r="Q351" s="99"/>
      <c r="R351" s="458"/>
    </row>
    <row r="352" spans="1:18" s="185" customFormat="1" ht="13.5" customHeight="1" x14ac:dyDescent="0.2">
      <c r="A352" s="417"/>
      <c r="B352" s="447"/>
      <c r="C352" s="75" t="s">
        <v>39</v>
      </c>
      <c r="D352" s="76"/>
      <c r="E352" s="76"/>
      <c r="F352" s="50"/>
      <c r="G352" s="51"/>
      <c r="H352" s="77">
        <f>J352+K352+L352+I352</f>
        <v>0</v>
      </c>
      <c r="I352" s="78"/>
      <c r="J352" s="79"/>
      <c r="K352" s="79"/>
      <c r="L352" s="79"/>
      <c r="M352" s="79">
        <f>J352+K352+L352</f>
        <v>0</v>
      </c>
      <c r="N352" s="80"/>
      <c r="O352" s="80"/>
      <c r="P352" s="80"/>
      <c r="Q352" s="80"/>
      <c r="R352" s="458"/>
    </row>
    <row r="353" spans="1:18" ht="13.5" customHeight="1" x14ac:dyDescent="0.2">
      <c r="A353" s="417"/>
      <c r="B353" s="447"/>
      <c r="C353" s="43" t="s">
        <v>26</v>
      </c>
      <c r="D353" s="38">
        <f>SUM(D348:D352)</f>
        <v>65</v>
      </c>
      <c r="E353" s="38">
        <f t="shared" ref="E353:M353" si="94">SUM(E348:E352)</f>
        <v>161.88999999999999</v>
      </c>
      <c r="F353" s="38">
        <f t="shared" si="94"/>
        <v>0.82</v>
      </c>
      <c r="G353" s="38">
        <f t="shared" si="94"/>
        <v>3.5</v>
      </c>
      <c r="H353" s="38">
        <f t="shared" si="94"/>
        <v>9624.8700000000008</v>
      </c>
      <c r="I353" s="38">
        <f t="shared" si="94"/>
        <v>0</v>
      </c>
      <c r="J353" s="38">
        <f t="shared" si="94"/>
        <v>2052.92</v>
      </c>
      <c r="K353" s="38">
        <f t="shared" si="94"/>
        <v>7571.9500000000007</v>
      </c>
      <c r="L353" s="38">
        <f t="shared" si="94"/>
        <v>0</v>
      </c>
      <c r="M353" s="38">
        <f t="shared" si="94"/>
        <v>9624.8700000000008</v>
      </c>
      <c r="N353" s="99"/>
      <c r="O353" s="99"/>
      <c r="P353" s="99"/>
      <c r="Q353" s="99"/>
      <c r="R353" s="458"/>
    </row>
    <row r="354" spans="1:18" ht="13.5" customHeight="1" x14ac:dyDescent="0.2">
      <c r="A354" s="417">
        <v>43</v>
      </c>
      <c r="B354" s="447" t="s">
        <v>84</v>
      </c>
      <c r="C354" s="43">
        <v>2019</v>
      </c>
      <c r="D354" s="98">
        <v>291</v>
      </c>
      <c r="E354" s="98">
        <v>348.97</v>
      </c>
      <c r="F354" s="44">
        <v>0.94</v>
      </c>
      <c r="G354" s="45">
        <v>2</v>
      </c>
      <c r="H354" s="48">
        <f>J354+K354+L354+I354</f>
        <v>1049.664</v>
      </c>
      <c r="I354" s="47"/>
      <c r="J354" s="74">
        <v>1049.664</v>
      </c>
      <c r="K354" s="74"/>
      <c r="L354" s="74"/>
      <c r="M354" s="74">
        <f>J354+K354+L354</f>
        <v>1049.664</v>
      </c>
      <c r="N354" s="99" t="s">
        <v>48</v>
      </c>
      <c r="O354" s="99"/>
      <c r="P354" s="99"/>
      <c r="Q354" s="99"/>
      <c r="R354" s="458" t="s">
        <v>93</v>
      </c>
    </row>
    <row r="355" spans="1:18" ht="13.5" customHeight="1" x14ac:dyDescent="0.2">
      <c r="A355" s="417"/>
      <c r="B355" s="447"/>
      <c r="C355" s="43" t="s">
        <v>24</v>
      </c>
      <c r="D355" s="98"/>
      <c r="E355" s="98"/>
      <c r="F355" s="44"/>
      <c r="G355" s="45"/>
      <c r="H355" s="48">
        <f>J355+K355+L355+I355</f>
        <v>9628.69</v>
      </c>
      <c r="I355" s="47"/>
      <c r="J355" s="74">
        <v>955</v>
      </c>
      <c r="K355" s="74">
        <f>8674-0.31</f>
        <v>8673.69</v>
      </c>
      <c r="L355" s="74"/>
      <c r="M355" s="74">
        <f>J355+K355+L355</f>
        <v>9628.69</v>
      </c>
      <c r="N355" s="99"/>
      <c r="O355" s="99" t="s">
        <v>48</v>
      </c>
      <c r="P355" s="99" t="s">
        <v>54</v>
      </c>
      <c r="Q355" s="99" t="s">
        <v>57</v>
      </c>
      <c r="R355" s="458"/>
    </row>
    <row r="356" spans="1:18" ht="13.5" customHeight="1" x14ac:dyDescent="0.2">
      <c r="A356" s="417"/>
      <c r="B356" s="447"/>
      <c r="C356" s="43" t="s">
        <v>25</v>
      </c>
      <c r="D356" s="98"/>
      <c r="E356" s="98"/>
      <c r="F356" s="44"/>
      <c r="G356" s="45"/>
      <c r="H356" s="48">
        <f>J356+K356+L356+I356</f>
        <v>0</v>
      </c>
      <c r="I356" s="47"/>
      <c r="J356" s="74"/>
      <c r="K356" s="74"/>
      <c r="L356" s="74"/>
      <c r="M356" s="74">
        <f>J356+K356+L356</f>
        <v>0</v>
      </c>
      <c r="N356" s="99"/>
      <c r="O356" s="99"/>
      <c r="P356" s="99"/>
      <c r="Q356" s="99"/>
      <c r="R356" s="458"/>
    </row>
    <row r="357" spans="1:18" ht="13.5" customHeight="1" x14ac:dyDescent="0.2">
      <c r="A357" s="417"/>
      <c r="B357" s="447"/>
      <c r="C357" s="43" t="s">
        <v>38</v>
      </c>
      <c r="D357" s="98"/>
      <c r="E357" s="57"/>
      <c r="F357" s="58"/>
      <c r="G357" s="45"/>
      <c r="H357" s="48">
        <f>J357+K357+L357+I357</f>
        <v>0</v>
      </c>
      <c r="I357" s="47"/>
      <c r="J357" s="74"/>
      <c r="K357" s="74"/>
      <c r="L357" s="74"/>
      <c r="M357" s="74">
        <f>J357+K357+L357</f>
        <v>0</v>
      </c>
      <c r="N357" s="99"/>
      <c r="O357" s="99"/>
      <c r="P357" s="99"/>
      <c r="Q357" s="99"/>
      <c r="R357" s="458"/>
    </row>
    <row r="358" spans="1:18" s="185" customFormat="1" ht="13.5" customHeight="1" x14ac:dyDescent="0.2">
      <c r="A358" s="417"/>
      <c r="B358" s="447"/>
      <c r="C358" s="75" t="s">
        <v>39</v>
      </c>
      <c r="D358" s="76"/>
      <c r="E358" s="76"/>
      <c r="F358" s="50"/>
      <c r="G358" s="51"/>
      <c r="H358" s="77">
        <f>J358+K358+L358+I358</f>
        <v>0</v>
      </c>
      <c r="I358" s="78"/>
      <c r="J358" s="79"/>
      <c r="K358" s="79"/>
      <c r="L358" s="79"/>
      <c r="M358" s="79">
        <f>J358+K358+L358</f>
        <v>0</v>
      </c>
      <c r="N358" s="80"/>
      <c r="O358" s="80"/>
      <c r="P358" s="80"/>
      <c r="Q358" s="80"/>
      <c r="R358" s="458"/>
    </row>
    <row r="359" spans="1:18" ht="13.5" customHeight="1" x14ac:dyDescent="0.2">
      <c r="A359" s="417"/>
      <c r="B359" s="447"/>
      <c r="C359" s="43" t="s">
        <v>26</v>
      </c>
      <c r="D359" s="38">
        <f>SUM(D354:D358)</f>
        <v>291</v>
      </c>
      <c r="E359" s="38">
        <f t="shared" ref="E359:M359" si="95">SUM(E354:E358)</f>
        <v>348.97</v>
      </c>
      <c r="F359" s="38">
        <f t="shared" si="95"/>
        <v>0.94</v>
      </c>
      <c r="G359" s="38">
        <f t="shared" si="95"/>
        <v>2</v>
      </c>
      <c r="H359" s="38">
        <f t="shared" si="95"/>
        <v>10678.354000000001</v>
      </c>
      <c r="I359" s="38">
        <f t="shared" si="95"/>
        <v>0</v>
      </c>
      <c r="J359" s="38">
        <f t="shared" si="95"/>
        <v>2004.664</v>
      </c>
      <c r="K359" s="38">
        <f t="shared" si="95"/>
        <v>8673.69</v>
      </c>
      <c r="L359" s="38">
        <f t="shared" si="95"/>
        <v>0</v>
      </c>
      <c r="M359" s="38">
        <f t="shared" si="95"/>
        <v>10678.354000000001</v>
      </c>
      <c r="N359" s="99"/>
      <c r="O359" s="99"/>
      <c r="P359" s="99"/>
      <c r="Q359" s="99"/>
      <c r="R359" s="458"/>
    </row>
    <row r="360" spans="1:18" ht="13.5" customHeight="1" x14ac:dyDescent="0.2">
      <c r="A360" s="426" t="s">
        <v>3</v>
      </c>
      <c r="B360" s="426"/>
      <c r="C360" s="43">
        <v>2019</v>
      </c>
      <c r="D360" s="186">
        <f t="shared" ref="D360:M365" si="96">D324+D330+D336+D342+D348+D354</f>
        <v>476</v>
      </c>
      <c r="E360" s="186">
        <f t="shared" si="96"/>
        <v>18102.16</v>
      </c>
      <c r="F360" s="186">
        <f t="shared" si="96"/>
        <v>35.159999999999997</v>
      </c>
      <c r="G360" s="186">
        <f t="shared" si="96"/>
        <v>10.15</v>
      </c>
      <c r="H360" s="45">
        <f t="shared" si="96"/>
        <v>61386.773999999998</v>
      </c>
      <c r="I360" s="45">
        <f t="shared" si="96"/>
        <v>4865.67</v>
      </c>
      <c r="J360" s="45">
        <f t="shared" si="96"/>
        <v>2202.5839999999998</v>
      </c>
      <c r="K360" s="45">
        <f t="shared" si="96"/>
        <v>54318.520000000004</v>
      </c>
      <c r="L360" s="45">
        <f t="shared" si="96"/>
        <v>0</v>
      </c>
      <c r="M360" s="45">
        <f t="shared" si="96"/>
        <v>56521.103999999999</v>
      </c>
      <c r="N360" s="99"/>
      <c r="O360" s="99"/>
      <c r="P360" s="99"/>
      <c r="Q360" s="99"/>
      <c r="R360" s="422"/>
    </row>
    <row r="361" spans="1:18" ht="13.5" customHeight="1" x14ac:dyDescent="0.2">
      <c r="A361" s="426"/>
      <c r="B361" s="426"/>
      <c r="C361" s="43" t="s">
        <v>24</v>
      </c>
      <c r="D361" s="45">
        <f t="shared" si="96"/>
        <v>500</v>
      </c>
      <c r="E361" s="45">
        <f t="shared" si="96"/>
        <v>144</v>
      </c>
      <c r="F361" s="45">
        <f t="shared" si="96"/>
        <v>0.92020000000000002</v>
      </c>
      <c r="G361" s="45">
        <f t="shared" si="96"/>
        <v>34</v>
      </c>
      <c r="H361" s="45">
        <f t="shared" si="96"/>
        <v>28100.639999999999</v>
      </c>
      <c r="I361" s="45">
        <f t="shared" si="96"/>
        <v>0</v>
      </c>
      <c r="J361" s="45">
        <f t="shared" si="96"/>
        <v>11855</v>
      </c>
      <c r="K361" s="45">
        <f t="shared" si="96"/>
        <v>16245.640000000001</v>
      </c>
      <c r="L361" s="45">
        <f t="shared" si="96"/>
        <v>0</v>
      </c>
      <c r="M361" s="45">
        <f t="shared" si="96"/>
        <v>28100.639999999999</v>
      </c>
      <c r="N361" s="99"/>
      <c r="O361" s="99"/>
      <c r="P361" s="99"/>
      <c r="Q361" s="99"/>
      <c r="R361" s="422"/>
    </row>
    <row r="362" spans="1:18" ht="13.5" customHeight="1" x14ac:dyDescent="0.2">
      <c r="A362" s="426"/>
      <c r="B362" s="426"/>
      <c r="C362" s="43" t="s">
        <v>25</v>
      </c>
      <c r="D362" s="45">
        <f t="shared" si="96"/>
        <v>0</v>
      </c>
      <c r="E362" s="45">
        <f t="shared" si="96"/>
        <v>0</v>
      </c>
      <c r="F362" s="45">
        <f t="shared" si="96"/>
        <v>0</v>
      </c>
      <c r="G362" s="45">
        <f t="shared" si="96"/>
        <v>0</v>
      </c>
      <c r="H362" s="45">
        <f t="shared" si="96"/>
        <v>93697</v>
      </c>
      <c r="I362" s="45">
        <f t="shared" si="96"/>
        <v>0</v>
      </c>
      <c r="J362" s="45">
        <f t="shared" si="96"/>
        <v>2697</v>
      </c>
      <c r="K362" s="45">
        <f t="shared" si="96"/>
        <v>91000</v>
      </c>
      <c r="L362" s="45">
        <f t="shared" si="96"/>
        <v>0</v>
      </c>
      <c r="M362" s="45">
        <f t="shared" si="96"/>
        <v>93697</v>
      </c>
      <c r="N362" s="99"/>
      <c r="O362" s="99"/>
      <c r="P362" s="99"/>
      <c r="Q362" s="99"/>
      <c r="R362" s="422"/>
    </row>
    <row r="363" spans="1:18" ht="13.5" customHeight="1" x14ac:dyDescent="0.2">
      <c r="A363" s="426"/>
      <c r="B363" s="426"/>
      <c r="C363" s="43" t="s">
        <v>38</v>
      </c>
      <c r="D363" s="45">
        <f t="shared" si="96"/>
        <v>680</v>
      </c>
      <c r="E363" s="45">
        <f t="shared" si="96"/>
        <v>796.48720000000003</v>
      </c>
      <c r="F363" s="45">
        <f t="shared" si="96"/>
        <v>1.8668</v>
      </c>
      <c r="G363" s="45">
        <f t="shared" si="96"/>
        <v>18.5</v>
      </c>
      <c r="H363" s="45">
        <f t="shared" si="96"/>
        <v>31940.309999999998</v>
      </c>
      <c r="I363" s="45">
        <f t="shared" si="96"/>
        <v>0</v>
      </c>
      <c r="J363" s="45">
        <f t="shared" si="96"/>
        <v>16817</v>
      </c>
      <c r="K363" s="45">
        <f t="shared" si="96"/>
        <v>15123.31</v>
      </c>
      <c r="L363" s="45">
        <f t="shared" si="96"/>
        <v>0</v>
      </c>
      <c r="M363" s="45">
        <f t="shared" si="96"/>
        <v>31940.309999999998</v>
      </c>
      <c r="N363" s="99"/>
      <c r="O363" s="99"/>
      <c r="P363" s="99"/>
      <c r="Q363" s="99"/>
      <c r="R363" s="422"/>
    </row>
    <row r="364" spans="1:18" ht="13.5" customHeight="1" x14ac:dyDescent="0.2">
      <c r="A364" s="426"/>
      <c r="B364" s="426"/>
      <c r="C364" s="43" t="s">
        <v>39</v>
      </c>
      <c r="D364" s="45">
        <f t="shared" si="96"/>
        <v>0</v>
      </c>
      <c r="E364" s="45">
        <f t="shared" si="96"/>
        <v>0</v>
      </c>
      <c r="F364" s="45">
        <f t="shared" si="96"/>
        <v>0</v>
      </c>
      <c r="G364" s="45">
        <f t="shared" si="96"/>
        <v>0</v>
      </c>
      <c r="H364" s="45">
        <f t="shared" si="96"/>
        <v>71250</v>
      </c>
      <c r="I364" s="45">
        <f t="shared" si="96"/>
        <v>0</v>
      </c>
      <c r="J364" s="45">
        <f t="shared" si="96"/>
        <v>0</v>
      </c>
      <c r="K364" s="45">
        <f t="shared" si="96"/>
        <v>71250</v>
      </c>
      <c r="L364" s="45">
        <f t="shared" si="96"/>
        <v>0</v>
      </c>
      <c r="M364" s="45">
        <f t="shared" si="96"/>
        <v>71250</v>
      </c>
      <c r="N364" s="99"/>
      <c r="O364" s="99"/>
      <c r="P364" s="99"/>
      <c r="Q364" s="99"/>
      <c r="R364" s="422"/>
    </row>
    <row r="365" spans="1:18" ht="13.5" customHeight="1" x14ac:dyDescent="0.2">
      <c r="A365" s="426"/>
      <c r="B365" s="426"/>
      <c r="C365" s="43" t="s">
        <v>12</v>
      </c>
      <c r="D365" s="186">
        <f t="shared" si="96"/>
        <v>1656</v>
      </c>
      <c r="E365" s="186">
        <f t="shared" si="96"/>
        <v>19042.647199999999</v>
      </c>
      <c r="F365" s="186">
        <f t="shared" si="96"/>
        <v>37.947000000000003</v>
      </c>
      <c r="G365" s="186">
        <f t="shared" si="96"/>
        <v>62.65</v>
      </c>
      <c r="H365" s="45">
        <f t="shared" si="96"/>
        <v>286374.72399999999</v>
      </c>
      <c r="I365" s="45">
        <f t="shared" si="96"/>
        <v>4865.67</v>
      </c>
      <c r="J365" s="45">
        <f t="shared" si="96"/>
        <v>33571.583999999995</v>
      </c>
      <c r="K365" s="45">
        <f t="shared" si="96"/>
        <v>247937.47000000003</v>
      </c>
      <c r="L365" s="45">
        <f t="shared" si="96"/>
        <v>0</v>
      </c>
      <c r="M365" s="45">
        <f t="shared" si="96"/>
        <v>281509.054</v>
      </c>
      <c r="N365" s="99"/>
      <c r="O365" s="99"/>
      <c r="P365" s="99"/>
      <c r="Q365" s="99"/>
      <c r="R365" s="422"/>
    </row>
    <row r="366" spans="1:18" ht="18" customHeight="1" x14ac:dyDescent="0.2">
      <c r="A366" s="462" t="s">
        <v>115</v>
      </c>
      <c r="B366" s="462"/>
      <c r="C366" s="43">
        <v>2019</v>
      </c>
      <c r="D366" s="48"/>
      <c r="E366" s="98"/>
      <c r="F366" s="98"/>
      <c r="G366" s="98"/>
      <c r="H366" s="187"/>
      <c r="I366" s="188"/>
      <c r="J366" s="169"/>
      <c r="K366" s="169"/>
      <c r="L366" s="40">
        <v>2681.6648100000002</v>
      </c>
      <c r="M366" s="169"/>
      <c r="N366" s="99"/>
      <c r="O366" s="99"/>
      <c r="P366" s="99"/>
      <c r="Q366" s="99"/>
      <c r="R366" s="435"/>
    </row>
    <row r="367" spans="1:18" ht="18.75" customHeight="1" x14ac:dyDescent="0.2">
      <c r="A367" s="462"/>
      <c r="B367" s="462"/>
      <c r="C367" s="43" t="s">
        <v>24</v>
      </c>
      <c r="D367" s="98"/>
      <c r="E367" s="98"/>
      <c r="F367" s="98"/>
      <c r="G367" s="98"/>
      <c r="H367" s="187"/>
      <c r="I367" s="188"/>
      <c r="J367" s="169"/>
      <c r="K367" s="169"/>
      <c r="L367" s="40">
        <v>2605.24026</v>
      </c>
      <c r="M367" s="169"/>
      <c r="N367" s="99"/>
      <c r="O367" s="99"/>
      <c r="P367" s="99"/>
      <c r="Q367" s="99"/>
      <c r="R367" s="435"/>
    </row>
    <row r="368" spans="1:18" ht="18" customHeight="1" x14ac:dyDescent="0.2">
      <c r="A368" s="462"/>
      <c r="B368" s="462"/>
      <c r="C368" s="43" t="s">
        <v>32</v>
      </c>
      <c r="D368" s="98"/>
      <c r="E368" s="98"/>
      <c r="F368" s="98"/>
      <c r="G368" s="48"/>
      <c r="H368" s="187"/>
      <c r="I368" s="188"/>
      <c r="J368" s="169"/>
      <c r="K368" s="169"/>
      <c r="L368" s="176">
        <f>SUM(L366:L367)</f>
        <v>5286.9050700000007</v>
      </c>
      <c r="M368" s="169"/>
      <c r="N368" s="189" t="s">
        <v>105</v>
      </c>
      <c r="O368" s="189" t="s">
        <v>106</v>
      </c>
      <c r="P368" s="190"/>
      <c r="Q368" s="190"/>
      <c r="R368" s="435"/>
    </row>
    <row r="369" spans="1:18" x14ac:dyDescent="0.2">
      <c r="A369" s="462" t="s">
        <v>116</v>
      </c>
      <c r="B369" s="462"/>
      <c r="C369" s="43" t="s">
        <v>24</v>
      </c>
      <c r="D369" s="98"/>
      <c r="E369" s="98"/>
      <c r="F369" s="98"/>
      <c r="G369" s="98"/>
      <c r="H369" s="187"/>
      <c r="I369" s="188"/>
      <c r="J369" s="169"/>
      <c r="K369" s="169"/>
      <c r="L369" s="40">
        <f>25036.96-L367</f>
        <v>22431.71974</v>
      </c>
      <c r="M369" s="169"/>
      <c r="N369" s="189"/>
      <c r="O369" s="189"/>
      <c r="P369" s="190"/>
      <c r="Q369" s="190"/>
      <c r="R369" s="419"/>
    </row>
    <row r="370" spans="1:18" x14ac:dyDescent="0.2">
      <c r="A370" s="462"/>
      <c r="B370" s="462"/>
      <c r="C370" s="43" t="s">
        <v>25</v>
      </c>
      <c r="D370" s="98"/>
      <c r="E370" s="98"/>
      <c r="F370" s="98"/>
      <c r="G370" s="98"/>
      <c r="H370" s="187"/>
      <c r="I370" s="188"/>
      <c r="J370" s="169"/>
      <c r="K370" s="169"/>
      <c r="L370" s="40">
        <v>85000</v>
      </c>
      <c r="M370" s="169"/>
      <c r="N370" s="189"/>
      <c r="O370" s="189"/>
      <c r="P370" s="190"/>
      <c r="Q370" s="190"/>
      <c r="R370" s="420"/>
    </row>
    <row r="371" spans="1:18" x14ac:dyDescent="0.2">
      <c r="A371" s="462"/>
      <c r="B371" s="462"/>
      <c r="C371" s="43" t="s">
        <v>38</v>
      </c>
      <c r="D371" s="98"/>
      <c r="E371" s="98"/>
      <c r="F371" s="98"/>
      <c r="G371" s="98"/>
      <c r="H371" s="187"/>
      <c r="I371" s="188"/>
      <c r="J371" s="169"/>
      <c r="K371" s="169"/>
      <c r="L371" s="40">
        <v>95000</v>
      </c>
      <c r="M371" s="169"/>
      <c r="N371" s="189"/>
      <c r="O371" s="189"/>
      <c r="P371" s="190"/>
      <c r="Q371" s="190"/>
      <c r="R371" s="420"/>
    </row>
    <row r="372" spans="1:18" x14ac:dyDescent="0.2">
      <c r="A372" s="462"/>
      <c r="B372" s="462"/>
      <c r="C372" s="43" t="s">
        <v>39</v>
      </c>
      <c r="D372" s="98"/>
      <c r="E372" s="98"/>
      <c r="F372" s="98"/>
      <c r="G372" s="98"/>
      <c r="H372" s="187"/>
      <c r="I372" s="188"/>
      <c r="J372" s="169"/>
      <c r="K372" s="169"/>
      <c r="L372" s="40">
        <v>105000</v>
      </c>
      <c r="M372" s="169"/>
      <c r="N372" s="189"/>
      <c r="O372" s="189"/>
      <c r="P372" s="190"/>
      <c r="Q372" s="190"/>
      <c r="R372" s="420"/>
    </row>
    <row r="373" spans="1:18" x14ac:dyDescent="0.2">
      <c r="A373" s="462"/>
      <c r="B373" s="462"/>
      <c r="C373" s="43" t="s">
        <v>32</v>
      </c>
      <c r="D373" s="98"/>
      <c r="E373" s="98"/>
      <c r="F373" s="98"/>
      <c r="G373" s="48"/>
      <c r="H373" s="187"/>
      <c r="I373" s="188"/>
      <c r="J373" s="169"/>
      <c r="K373" s="169"/>
      <c r="L373" s="176">
        <f>SUM(L368:L372)</f>
        <v>312718.62481000001</v>
      </c>
      <c r="M373" s="169"/>
      <c r="N373" s="189"/>
      <c r="O373" s="189"/>
      <c r="P373" s="190"/>
      <c r="Q373" s="190"/>
      <c r="R373" s="421"/>
    </row>
    <row r="374" spans="1:18" ht="15.75" customHeight="1" x14ac:dyDescent="0.2">
      <c r="A374" s="426" t="s">
        <v>35</v>
      </c>
      <c r="B374" s="426"/>
      <c r="C374" s="191">
        <v>2019</v>
      </c>
      <c r="D374" s="192">
        <f>D47+D66+D91+D104+D147+D166+D241+D317+D360+D266+D179+D298+D192</f>
        <v>10129</v>
      </c>
      <c r="E374" s="192">
        <f t="shared" ref="E374:K378" si="97">E47+E66+E91+E104+E147+E166+E241+E317+E360+E266+E179+E298+E192+E279</f>
        <v>66518.470000000016</v>
      </c>
      <c r="F374" s="192">
        <f t="shared" si="97"/>
        <v>168.48060000000001</v>
      </c>
      <c r="G374" s="192">
        <f t="shared" si="97"/>
        <v>144.01000000000002</v>
      </c>
      <c r="H374" s="48">
        <f t="shared" si="97"/>
        <v>441459.46296999999</v>
      </c>
      <c r="I374" s="48">
        <f t="shared" si="97"/>
        <v>217065.25000000003</v>
      </c>
      <c r="J374" s="48">
        <f t="shared" si="97"/>
        <v>41724.921770000001</v>
      </c>
      <c r="K374" s="48">
        <f t="shared" si="97"/>
        <v>182669.29119999998</v>
      </c>
      <c r="L374" s="48">
        <f>L47+L66+L91+L104+L147+L166+L241+L317+L360+L266+L179+L298+L366</f>
        <v>2681.6648100000002</v>
      </c>
      <c r="M374" s="193">
        <f>J374+K374+L374</f>
        <v>227075.87777999998</v>
      </c>
      <c r="N374" s="194">
        <v>273008.51</v>
      </c>
      <c r="O374" s="195">
        <f t="shared" ref="O374:O379" si="98">M374-N374</f>
        <v>-45932.632220000029</v>
      </c>
      <c r="P374" s="190" t="s">
        <v>107</v>
      </c>
      <c r="Q374" s="190"/>
      <c r="R374" s="422"/>
    </row>
    <row r="375" spans="1:18" ht="15.75" customHeight="1" x14ac:dyDescent="0.2">
      <c r="A375" s="426"/>
      <c r="B375" s="426"/>
      <c r="C375" s="191">
        <v>2020</v>
      </c>
      <c r="D375" s="48">
        <f>D48+D67+D92+D105+D148+D167+D242+D318+D361+D267+D180+D299+D193</f>
        <v>7129</v>
      </c>
      <c r="E375" s="48">
        <f t="shared" si="97"/>
        <v>15616.841</v>
      </c>
      <c r="F375" s="48">
        <f t="shared" si="97"/>
        <v>47.300199999999997</v>
      </c>
      <c r="G375" s="48">
        <f t="shared" si="97"/>
        <v>87</v>
      </c>
      <c r="H375" s="48">
        <f t="shared" si="97"/>
        <v>469969.31815000001</v>
      </c>
      <c r="I375" s="48">
        <f t="shared" si="97"/>
        <v>1.6255900000000001</v>
      </c>
      <c r="J375" s="48">
        <f t="shared" si="97"/>
        <v>63273.67</v>
      </c>
      <c r="K375" s="48">
        <f t="shared" si="97"/>
        <v>408194.02256000001</v>
      </c>
      <c r="L375" s="48">
        <v>25036.959999999999</v>
      </c>
      <c r="M375" s="193">
        <f>J375+K375+L375</f>
        <v>496504.65256000002</v>
      </c>
      <c r="N375" s="194">
        <v>424936.06</v>
      </c>
      <c r="O375" s="195">
        <f t="shared" si="98"/>
        <v>71568.592560000019</v>
      </c>
      <c r="P375" s="190" t="s">
        <v>108</v>
      </c>
      <c r="Q375" s="190"/>
      <c r="R375" s="422"/>
    </row>
    <row r="376" spans="1:18" ht="15.75" customHeight="1" x14ac:dyDescent="0.2">
      <c r="A376" s="426"/>
      <c r="B376" s="426"/>
      <c r="C376" s="191">
        <v>2021</v>
      </c>
      <c r="D376" s="48">
        <f>D49+D68+D93+D106+D149+D168+D243+D319+D362+D268+D181+D300+D194</f>
        <v>990</v>
      </c>
      <c r="E376" s="48">
        <f t="shared" si="97"/>
        <v>1787.9</v>
      </c>
      <c r="F376" s="48">
        <f t="shared" si="97"/>
        <v>3.9860000000000002</v>
      </c>
      <c r="G376" s="48">
        <f t="shared" si="97"/>
        <v>12.65</v>
      </c>
      <c r="H376" s="48">
        <f t="shared" si="97"/>
        <v>314461.5</v>
      </c>
      <c r="I376" s="48">
        <f t="shared" si="97"/>
        <v>0</v>
      </c>
      <c r="J376" s="48">
        <f t="shared" si="97"/>
        <v>26079.27</v>
      </c>
      <c r="K376" s="48">
        <f t="shared" si="97"/>
        <v>298190.23</v>
      </c>
      <c r="L376" s="48">
        <v>85000</v>
      </c>
      <c r="M376" s="193">
        <f>J376+K376+L376</f>
        <v>409269.5</v>
      </c>
      <c r="N376" s="194">
        <v>330168.24</v>
      </c>
      <c r="O376" s="195">
        <f t="shared" si="98"/>
        <v>79101.260000000009</v>
      </c>
      <c r="P376" s="190"/>
      <c r="Q376" s="190"/>
      <c r="R376" s="422"/>
    </row>
    <row r="377" spans="1:18" ht="15.75" customHeight="1" x14ac:dyDescent="0.2">
      <c r="A377" s="426"/>
      <c r="B377" s="426"/>
      <c r="C377" s="191">
        <v>2022</v>
      </c>
      <c r="D377" s="48">
        <f>D50+D69+D94+D107+D150+D169+D244+D320+D363+D269+D182+D301+D195</f>
        <v>1693</v>
      </c>
      <c r="E377" s="48">
        <f t="shared" si="97"/>
        <v>3847.7014999999997</v>
      </c>
      <c r="F377" s="48">
        <f t="shared" si="97"/>
        <v>10.573399999999999</v>
      </c>
      <c r="G377" s="48">
        <f t="shared" si="97"/>
        <v>60.5</v>
      </c>
      <c r="H377" s="48">
        <f t="shared" si="97"/>
        <v>160667.31</v>
      </c>
      <c r="I377" s="48">
        <f t="shared" si="97"/>
        <v>0</v>
      </c>
      <c r="J377" s="48">
        <f t="shared" si="97"/>
        <v>64399.33</v>
      </c>
      <c r="K377" s="48">
        <f t="shared" si="97"/>
        <v>101267.98</v>
      </c>
      <c r="L377" s="48">
        <v>95000</v>
      </c>
      <c r="M377" s="193">
        <f>J377+K377+L377</f>
        <v>260667.31</v>
      </c>
      <c r="N377" s="194">
        <v>340064.01</v>
      </c>
      <c r="O377" s="195">
        <f t="shared" si="98"/>
        <v>-79396.700000000012</v>
      </c>
      <c r="P377" s="190"/>
      <c r="Q377" s="190"/>
      <c r="R377" s="422"/>
    </row>
    <row r="378" spans="1:18" ht="15.75" customHeight="1" x14ac:dyDescent="0.2">
      <c r="A378" s="426"/>
      <c r="B378" s="426"/>
      <c r="C378" s="191">
        <v>2023</v>
      </c>
      <c r="D378" s="48">
        <f>D51+D70+D95+D108+D151+D170+D245+D321+D364+D270+D183+D302+D196</f>
        <v>242</v>
      </c>
      <c r="E378" s="48">
        <f t="shared" si="97"/>
        <v>337.58</v>
      </c>
      <c r="F378" s="48">
        <f t="shared" si="97"/>
        <v>9.25</v>
      </c>
      <c r="G378" s="48">
        <f t="shared" si="97"/>
        <v>12</v>
      </c>
      <c r="H378" s="48">
        <f t="shared" si="97"/>
        <v>219916.41</v>
      </c>
      <c r="I378" s="48">
        <f t="shared" si="97"/>
        <v>0</v>
      </c>
      <c r="J378" s="48">
        <f t="shared" si="97"/>
        <v>14500</v>
      </c>
      <c r="K378" s="48">
        <f t="shared" si="97"/>
        <v>205416.41</v>
      </c>
      <c r="L378" s="48">
        <v>105000</v>
      </c>
      <c r="M378" s="193">
        <f>J378+K378+L378</f>
        <v>324916.41000000003</v>
      </c>
      <c r="N378" s="194">
        <v>350256.93</v>
      </c>
      <c r="O378" s="195">
        <f t="shared" si="98"/>
        <v>-25340.51999999996</v>
      </c>
      <c r="P378" s="190"/>
      <c r="Q378" s="190"/>
      <c r="R378" s="422"/>
    </row>
    <row r="379" spans="1:18" s="134" customFormat="1" ht="27.75" customHeight="1" x14ac:dyDescent="0.25">
      <c r="A379" s="426"/>
      <c r="B379" s="426"/>
      <c r="C379" s="196" t="s">
        <v>33</v>
      </c>
      <c r="D379" s="197">
        <f t="shared" ref="D379:N379" si="99">SUM(D374:D378)</f>
        <v>20183</v>
      </c>
      <c r="E379" s="197">
        <f t="shared" si="99"/>
        <v>88108.492500000008</v>
      </c>
      <c r="F379" s="197">
        <f t="shared" si="99"/>
        <v>239.59019999999998</v>
      </c>
      <c r="G379" s="198">
        <f t="shared" si="99"/>
        <v>316.16000000000003</v>
      </c>
      <c r="H379" s="81">
        <f t="shared" si="99"/>
        <v>1606474.0011199999</v>
      </c>
      <c r="I379" s="81">
        <f t="shared" si="99"/>
        <v>217066.87559000004</v>
      </c>
      <c r="J379" s="81">
        <f t="shared" si="99"/>
        <v>209977.19176999998</v>
      </c>
      <c r="K379" s="81">
        <f t="shared" si="99"/>
        <v>1195737.9337599999</v>
      </c>
      <c r="L379" s="81">
        <f t="shared" si="99"/>
        <v>312718.62481000001</v>
      </c>
      <c r="M379" s="81">
        <f t="shared" si="99"/>
        <v>1718433.7503400003</v>
      </c>
      <c r="N379" s="199">
        <f t="shared" si="99"/>
        <v>1718433.75</v>
      </c>
      <c r="O379" s="200">
        <f t="shared" si="98"/>
        <v>3.4000026062130928E-4</v>
      </c>
      <c r="P379" s="201"/>
      <c r="Q379" s="201"/>
      <c r="R379" s="422"/>
    </row>
    <row r="380" spans="1:18" x14ac:dyDescent="0.2">
      <c r="A380" s="202"/>
      <c r="B380" s="203"/>
      <c r="C380" s="204"/>
      <c r="D380" s="205"/>
      <c r="E380" s="206"/>
      <c r="F380" s="206"/>
      <c r="G380" s="24"/>
      <c r="H380" s="25"/>
      <c r="I380" s="25"/>
      <c r="J380" s="26"/>
      <c r="K380" s="26"/>
      <c r="L380" s="26"/>
      <c r="M380" s="26"/>
      <c r="N380" s="207"/>
      <c r="O380" s="208"/>
      <c r="P380" s="209"/>
      <c r="Q380" s="209"/>
      <c r="R380" s="210"/>
    </row>
    <row r="381" spans="1:18" ht="12.75" customHeight="1" x14ac:dyDescent="0.2">
      <c r="A381" s="463" t="s">
        <v>75</v>
      </c>
      <c r="B381" s="463"/>
      <c r="C381" s="463"/>
      <c r="D381" s="463"/>
      <c r="E381" s="463"/>
      <c r="F381" s="463"/>
      <c r="G381" s="463"/>
      <c r="J381" s="211"/>
      <c r="K381" s="211"/>
      <c r="M381" s="211"/>
      <c r="N381" s="212">
        <f>M379-N379</f>
        <v>3.4000026062130928E-4</v>
      </c>
      <c r="O381" s="212"/>
      <c r="P381" s="213"/>
      <c r="Q381" s="213"/>
      <c r="R381" s="138"/>
    </row>
    <row r="382" spans="1:18" x14ac:dyDescent="0.2">
      <c r="A382" s="463" t="s">
        <v>85</v>
      </c>
      <c r="B382" s="463"/>
      <c r="C382" s="463"/>
      <c r="D382" s="463"/>
      <c r="E382" s="463"/>
      <c r="F382" s="463"/>
      <c r="G382" s="463"/>
      <c r="N382" s="213"/>
      <c r="O382" s="213"/>
      <c r="P382" s="213"/>
      <c r="Q382" s="213"/>
      <c r="R382" s="138"/>
    </row>
    <row r="383" spans="1:18" x14ac:dyDescent="0.2">
      <c r="A383" s="214"/>
      <c r="B383" s="215"/>
      <c r="C383" s="215"/>
      <c r="D383" s="215"/>
      <c r="E383" s="215"/>
      <c r="F383" s="215"/>
      <c r="N383" s="211"/>
      <c r="R383" s="138"/>
    </row>
    <row r="384" spans="1:18" x14ac:dyDescent="0.2">
      <c r="R384" s="216"/>
    </row>
    <row r="385" spans="1:18" x14ac:dyDescent="0.2">
      <c r="A385" s="217"/>
      <c r="B385" s="218"/>
      <c r="C385" s="218"/>
      <c r="D385" s="217"/>
      <c r="E385" s="217"/>
      <c r="F385" s="217"/>
      <c r="G385" s="217"/>
      <c r="H385" s="219"/>
      <c r="I385" s="220"/>
      <c r="J385" s="213"/>
      <c r="K385" s="213"/>
      <c r="L385" s="213"/>
      <c r="M385" s="213"/>
      <c r="N385" s="213"/>
      <c r="O385" s="213"/>
      <c r="P385" s="213"/>
      <c r="Q385" s="213"/>
      <c r="R385" s="221"/>
    </row>
    <row r="386" spans="1:18" x14ac:dyDescent="0.2">
      <c r="A386" s="217"/>
      <c r="B386" s="218"/>
      <c r="C386" s="218"/>
      <c r="D386" s="217"/>
      <c r="E386" s="217"/>
      <c r="F386" s="217"/>
      <c r="G386" s="217"/>
      <c r="H386" s="219"/>
      <c r="I386" s="220"/>
      <c r="J386" s="213"/>
      <c r="K386" s="213"/>
      <c r="L386" s="213"/>
      <c r="M386" s="213"/>
      <c r="N386" s="213"/>
      <c r="O386" s="213"/>
      <c r="P386" s="213"/>
      <c r="Q386" s="213"/>
      <c r="R386" s="221"/>
    </row>
    <row r="387" spans="1:18" x14ac:dyDescent="0.2">
      <c r="A387" s="217"/>
      <c r="B387" s="218"/>
      <c r="C387" s="218"/>
      <c r="D387" s="217"/>
      <c r="E387" s="217"/>
      <c r="F387" s="217"/>
      <c r="G387" s="217"/>
      <c r="H387" s="219"/>
      <c r="I387" s="220"/>
      <c r="J387" s="213"/>
      <c r="K387" s="213"/>
      <c r="L387" s="213"/>
      <c r="M387" s="213"/>
      <c r="N387" s="213"/>
      <c r="O387" s="213"/>
      <c r="P387" s="213"/>
      <c r="Q387" s="213"/>
      <c r="R387" s="221"/>
    </row>
    <row r="388" spans="1:18" x14ac:dyDescent="0.2">
      <c r="A388" s="217"/>
      <c r="B388" s="218"/>
      <c r="C388" s="218"/>
      <c r="D388" s="217"/>
      <c r="E388" s="217"/>
      <c r="F388" s="217"/>
      <c r="G388" s="217"/>
      <c r="H388" s="219"/>
      <c r="I388" s="220"/>
      <c r="J388" s="213"/>
      <c r="K388" s="213"/>
      <c r="L388" s="213"/>
      <c r="M388" s="213"/>
      <c r="N388" s="213"/>
      <c r="O388" s="213"/>
      <c r="P388" s="213"/>
      <c r="Q388" s="213"/>
      <c r="R388" s="221"/>
    </row>
    <row r="389" spans="1:18" x14ac:dyDescent="0.2">
      <c r="A389" s="217"/>
      <c r="B389" s="218"/>
      <c r="C389" s="218"/>
      <c r="D389" s="217"/>
      <c r="E389" s="217"/>
      <c r="F389" s="217"/>
      <c r="G389" s="217"/>
      <c r="H389" s="219"/>
      <c r="I389" s="220"/>
      <c r="J389" s="213"/>
      <c r="K389" s="213"/>
      <c r="L389" s="213"/>
      <c r="M389" s="213"/>
      <c r="N389" s="213"/>
      <c r="O389" s="213"/>
      <c r="P389" s="213"/>
      <c r="Q389" s="213"/>
      <c r="R389" s="221"/>
    </row>
    <row r="390" spans="1:18" x14ac:dyDescent="0.2">
      <c r="A390" s="217"/>
      <c r="B390" s="218"/>
      <c r="C390" s="218"/>
      <c r="D390" s="217"/>
      <c r="E390" s="217"/>
      <c r="F390" s="217"/>
      <c r="G390" s="217"/>
      <c r="H390" s="219"/>
      <c r="I390" s="220"/>
      <c r="J390" s="213"/>
      <c r="K390" s="213"/>
      <c r="L390" s="213"/>
      <c r="M390" s="213"/>
      <c r="N390" s="213"/>
      <c r="O390" s="213"/>
      <c r="P390" s="213"/>
      <c r="Q390" s="213"/>
      <c r="R390" s="221"/>
    </row>
    <row r="391" spans="1:18" x14ac:dyDescent="0.2">
      <c r="A391" s="217"/>
      <c r="B391" s="218"/>
      <c r="C391" s="218"/>
      <c r="D391" s="217"/>
      <c r="E391" s="217"/>
      <c r="F391" s="217"/>
      <c r="G391" s="217"/>
      <c r="H391" s="219"/>
      <c r="I391" s="220"/>
      <c r="J391" s="213"/>
      <c r="K391" s="213"/>
      <c r="L391" s="213"/>
      <c r="M391" s="213"/>
      <c r="N391" s="213"/>
      <c r="O391" s="213"/>
      <c r="P391" s="213"/>
      <c r="Q391" s="213"/>
      <c r="R391" s="221"/>
    </row>
    <row r="392" spans="1:18" x14ac:dyDescent="0.2">
      <c r="A392" s="217"/>
      <c r="B392" s="218"/>
      <c r="C392" s="218"/>
      <c r="D392" s="217"/>
      <c r="E392" s="217"/>
      <c r="F392" s="217"/>
      <c r="G392" s="217"/>
      <c r="H392" s="219"/>
      <c r="I392" s="220"/>
      <c r="J392" s="213"/>
      <c r="K392" s="213"/>
      <c r="L392" s="213"/>
      <c r="M392" s="213"/>
      <c r="N392" s="213"/>
      <c r="O392" s="213"/>
      <c r="P392" s="213"/>
      <c r="Q392" s="213"/>
      <c r="R392" s="221"/>
    </row>
    <row r="393" spans="1:18" x14ac:dyDescent="0.2">
      <c r="A393" s="217"/>
      <c r="B393" s="218"/>
      <c r="C393" s="218"/>
      <c r="D393" s="217"/>
      <c r="E393" s="217"/>
      <c r="F393" s="217"/>
      <c r="G393" s="217"/>
      <c r="H393" s="219"/>
      <c r="I393" s="220"/>
      <c r="J393" s="213"/>
      <c r="K393" s="213"/>
      <c r="L393" s="213"/>
      <c r="M393" s="213"/>
      <c r="N393" s="213"/>
      <c r="O393" s="213"/>
      <c r="P393" s="213"/>
      <c r="Q393" s="213"/>
      <c r="R393" s="221"/>
    </row>
    <row r="394" spans="1:18" x14ac:dyDescent="0.2">
      <c r="A394" s="217"/>
      <c r="B394" s="218"/>
      <c r="C394" s="218"/>
      <c r="D394" s="217"/>
      <c r="E394" s="217"/>
      <c r="F394" s="217"/>
      <c r="G394" s="217"/>
      <c r="H394" s="219"/>
      <c r="I394" s="220"/>
      <c r="J394" s="213"/>
      <c r="K394" s="213"/>
      <c r="L394" s="213"/>
      <c r="M394" s="213"/>
      <c r="N394" s="213"/>
      <c r="O394" s="213"/>
      <c r="P394" s="213"/>
      <c r="Q394" s="213"/>
      <c r="R394" s="221"/>
    </row>
    <row r="395" spans="1:18" x14ac:dyDescent="0.2">
      <c r="A395" s="217"/>
      <c r="B395" s="218"/>
      <c r="C395" s="218"/>
      <c r="D395" s="217"/>
      <c r="E395" s="217"/>
      <c r="F395" s="217"/>
      <c r="G395" s="217"/>
      <c r="H395" s="219"/>
      <c r="I395" s="220"/>
      <c r="J395" s="213"/>
      <c r="K395" s="213"/>
      <c r="L395" s="213"/>
      <c r="M395" s="213"/>
      <c r="N395" s="213"/>
      <c r="O395" s="213"/>
      <c r="P395" s="213"/>
      <c r="Q395" s="213"/>
      <c r="R395" s="221"/>
    </row>
    <row r="396" spans="1:18" x14ac:dyDescent="0.2">
      <c r="A396" s="217"/>
      <c r="B396" s="218"/>
      <c r="C396" s="218"/>
      <c r="D396" s="217"/>
      <c r="E396" s="217"/>
      <c r="F396" s="217"/>
      <c r="G396" s="217"/>
      <c r="H396" s="219"/>
      <c r="I396" s="220"/>
      <c r="J396" s="213"/>
      <c r="K396" s="213"/>
      <c r="L396" s="213"/>
      <c r="M396" s="213"/>
      <c r="N396" s="213"/>
      <c r="O396" s="213"/>
      <c r="P396" s="213"/>
      <c r="Q396" s="213"/>
      <c r="R396" s="221"/>
    </row>
    <row r="397" spans="1:18" x14ac:dyDescent="0.2">
      <c r="A397" s="217"/>
      <c r="B397" s="218"/>
      <c r="C397" s="218"/>
      <c r="D397" s="217"/>
      <c r="E397" s="217"/>
      <c r="F397" s="217"/>
      <c r="G397" s="217"/>
      <c r="H397" s="219"/>
      <c r="I397" s="220"/>
      <c r="J397" s="213"/>
      <c r="K397" s="213"/>
      <c r="L397" s="213"/>
      <c r="M397" s="213"/>
      <c r="N397" s="213"/>
      <c r="O397" s="213"/>
      <c r="P397" s="213"/>
      <c r="Q397" s="213"/>
      <c r="R397" s="221"/>
    </row>
    <row r="398" spans="1:18" x14ac:dyDescent="0.2">
      <c r="A398" s="217"/>
      <c r="B398" s="218"/>
      <c r="C398" s="218"/>
      <c r="D398" s="217"/>
      <c r="E398" s="217"/>
      <c r="F398" s="217"/>
      <c r="G398" s="217"/>
      <c r="H398" s="219"/>
      <c r="I398" s="220"/>
      <c r="J398" s="213"/>
      <c r="K398" s="213"/>
      <c r="L398" s="213"/>
      <c r="M398" s="213"/>
      <c r="N398" s="213"/>
      <c r="O398" s="213"/>
      <c r="P398" s="213"/>
      <c r="Q398" s="213"/>
      <c r="R398" s="221"/>
    </row>
    <row r="399" spans="1:18" x14ac:dyDescent="0.2">
      <c r="A399" s="217"/>
      <c r="B399" s="218"/>
      <c r="C399" s="218"/>
      <c r="D399" s="217"/>
      <c r="E399" s="217"/>
      <c r="F399" s="217"/>
      <c r="G399" s="217"/>
      <c r="H399" s="219"/>
      <c r="I399" s="220"/>
      <c r="J399" s="213"/>
      <c r="K399" s="213"/>
      <c r="L399" s="213"/>
      <c r="M399" s="213"/>
      <c r="N399" s="213"/>
      <c r="O399" s="213"/>
      <c r="P399" s="213"/>
      <c r="Q399" s="213"/>
      <c r="R399" s="221"/>
    </row>
    <row r="400" spans="1:18" x14ac:dyDescent="0.2">
      <c r="A400" s="217"/>
      <c r="B400" s="218"/>
      <c r="C400" s="218"/>
      <c r="D400" s="217"/>
      <c r="E400" s="217"/>
      <c r="F400" s="217"/>
      <c r="G400" s="217"/>
      <c r="H400" s="219"/>
      <c r="I400" s="220"/>
      <c r="J400" s="213"/>
      <c r="K400" s="213"/>
      <c r="L400" s="213"/>
      <c r="M400" s="213"/>
      <c r="N400" s="213"/>
      <c r="O400" s="213"/>
      <c r="P400" s="213"/>
      <c r="Q400" s="213"/>
      <c r="R400" s="221"/>
    </row>
    <row r="401" spans="1:18" x14ac:dyDescent="0.2">
      <c r="A401" s="217"/>
      <c r="B401" s="218"/>
      <c r="C401" s="218"/>
      <c r="D401" s="217"/>
      <c r="E401" s="217"/>
      <c r="F401" s="217"/>
      <c r="G401" s="217"/>
      <c r="H401" s="219"/>
      <c r="I401" s="220"/>
      <c r="J401" s="213"/>
      <c r="K401" s="213"/>
      <c r="L401" s="213"/>
      <c r="M401" s="213"/>
      <c r="N401" s="213"/>
      <c r="O401" s="213"/>
      <c r="P401" s="213"/>
      <c r="Q401" s="213"/>
      <c r="R401" s="221"/>
    </row>
    <row r="402" spans="1:18" x14ac:dyDescent="0.2">
      <c r="A402" s="217"/>
      <c r="B402" s="218"/>
      <c r="C402" s="218"/>
      <c r="D402" s="217"/>
      <c r="E402" s="217"/>
      <c r="F402" s="217"/>
      <c r="G402" s="217"/>
      <c r="H402" s="219"/>
      <c r="I402" s="220"/>
      <c r="J402" s="213"/>
      <c r="K402" s="213"/>
      <c r="L402" s="213"/>
      <c r="M402" s="213"/>
      <c r="N402" s="213"/>
      <c r="O402" s="213"/>
      <c r="P402" s="213"/>
      <c r="Q402" s="213"/>
      <c r="R402" s="221"/>
    </row>
    <row r="403" spans="1:18" x14ac:dyDescent="0.2">
      <c r="A403" s="217"/>
      <c r="B403" s="218"/>
      <c r="C403" s="218"/>
      <c r="D403" s="217"/>
      <c r="E403" s="217"/>
      <c r="F403" s="217"/>
      <c r="G403" s="217"/>
      <c r="H403" s="219"/>
      <c r="I403" s="220"/>
      <c r="J403" s="213"/>
      <c r="K403" s="213"/>
      <c r="L403" s="213"/>
      <c r="M403" s="213"/>
      <c r="N403" s="213"/>
      <c r="O403" s="213"/>
      <c r="P403" s="213"/>
      <c r="Q403" s="213"/>
      <c r="R403" s="221"/>
    </row>
    <row r="404" spans="1:18" x14ac:dyDescent="0.2">
      <c r="A404" s="217"/>
      <c r="B404" s="218"/>
      <c r="C404" s="218"/>
      <c r="D404" s="217"/>
      <c r="E404" s="217"/>
      <c r="F404" s="217"/>
      <c r="G404" s="217"/>
      <c r="H404" s="219"/>
      <c r="I404" s="220"/>
      <c r="J404" s="213"/>
      <c r="K404" s="213"/>
      <c r="L404" s="213"/>
      <c r="M404" s="213"/>
      <c r="N404" s="213"/>
      <c r="O404" s="213"/>
      <c r="P404" s="213"/>
      <c r="Q404" s="213"/>
      <c r="R404" s="221"/>
    </row>
    <row r="405" spans="1:18" x14ac:dyDescent="0.2">
      <c r="A405" s="217"/>
      <c r="B405" s="218"/>
      <c r="C405" s="218"/>
      <c r="D405" s="217"/>
      <c r="E405" s="217"/>
      <c r="F405" s="217"/>
      <c r="G405" s="217"/>
      <c r="H405" s="219"/>
      <c r="I405" s="220"/>
      <c r="J405" s="213"/>
      <c r="K405" s="213"/>
      <c r="L405" s="213"/>
      <c r="M405" s="213"/>
      <c r="N405" s="213"/>
      <c r="O405" s="213"/>
      <c r="P405" s="213"/>
      <c r="Q405" s="213"/>
      <c r="R405" s="221"/>
    </row>
    <row r="406" spans="1:18" x14ac:dyDescent="0.2">
      <c r="A406" s="217"/>
      <c r="B406" s="218"/>
      <c r="C406" s="218"/>
      <c r="D406" s="217"/>
      <c r="E406" s="217"/>
      <c r="F406" s="217"/>
      <c r="G406" s="217"/>
      <c r="H406" s="219"/>
      <c r="I406" s="220"/>
      <c r="J406" s="213"/>
      <c r="K406" s="213"/>
      <c r="L406" s="213"/>
      <c r="M406" s="213"/>
      <c r="N406" s="213"/>
      <c r="O406" s="213"/>
      <c r="P406" s="213"/>
      <c r="Q406" s="213"/>
      <c r="R406" s="221"/>
    </row>
    <row r="407" spans="1:18" x14ac:dyDescent="0.2">
      <c r="A407" s="217"/>
      <c r="B407" s="218"/>
      <c r="C407" s="218"/>
      <c r="D407" s="217"/>
      <c r="E407" s="217"/>
      <c r="F407" s="217"/>
      <c r="G407" s="217"/>
      <c r="H407" s="219"/>
      <c r="I407" s="220"/>
      <c r="J407" s="213"/>
      <c r="K407" s="213"/>
      <c r="L407" s="213"/>
      <c r="M407" s="213"/>
      <c r="N407" s="213"/>
      <c r="O407" s="213"/>
      <c r="P407" s="213"/>
      <c r="Q407" s="213"/>
      <c r="R407" s="221"/>
    </row>
    <row r="408" spans="1:18" x14ac:dyDescent="0.2">
      <c r="A408" s="217"/>
      <c r="B408" s="218"/>
      <c r="C408" s="218"/>
      <c r="D408" s="217"/>
      <c r="E408" s="217"/>
      <c r="F408" s="217"/>
      <c r="G408" s="217"/>
      <c r="H408" s="219"/>
      <c r="I408" s="220"/>
      <c r="J408" s="213"/>
      <c r="K408" s="213"/>
      <c r="L408" s="213"/>
      <c r="M408" s="213"/>
      <c r="N408" s="213"/>
      <c r="O408" s="213"/>
      <c r="P408" s="213"/>
      <c r="Q408" s="213"/>
      <c r="R408" s="221"/>
    </row>
    <row r="409" spans="1:18" x14ac:dyDescent="0.2">
      <c r="A409" s="217"/>
      <c r="B409" s="218"/>
      <c r="C409" s="218"/>
      <c r="D409" s="217"/>
      <c r="E409" s="217"/>
      <c r="F409" s="217"/>
      <c r="G409" s="217"/>
      <c r="H409" s="219"/>
      <c r="I409" s="220"/>
      <c r="J409" s="213"/>
      <c r="K409" s="213"/>
      <c r="L409" s="213"/>
      <c r="M409" s="213"/>
      <c r="N409" s="213"/>
      <c r="O409" s="213"/>
      <c r="P409" s="213"/>
      <c r="Q409" s="213"/>
      <c r="R409" s="221"/>
    </row>
    <row r="410" spans="1:18" x14ac:dyDescent="0.2">
      <c r="A410" s="217"/>
      <c r="B410" s="218"/>
      <c r="C410" s="218"/>
      <c r="D410" s="217"/>
      <c r="E410" s="217"/>
      <c r="F410" s="217"/>
      <c r="G410" s="217"/>
      <c r="H410" s="219"/>
      <c r="I410" s="220"/>
      <c r="J410" s="213"/>
      <c r="K410" s="213"/>
      <c r="L410" s="213"/>
      <c r="M410" s="213"/>
      <c r="N410" s="213"/>
      <c r="O410" s="213"/>
      <c r="P410" s="213"/>
      <c r="Q410" s="213"/>
      <c r="R410" s="221"/>
    </row>
    <row r="411" spans="1:18" x14ac:dyDescent="0.2">
      <c r="A411" s="217"/>
      <c r="B411" s="218"/>
      <c r="C411" s="218"/>
      <c r="D411" s="217"/>
      <c r="E411" s="217"/>
      <c r="F411" s="217"/>
      <c r="G411" s="217"/>
      <c r="H411" s="219"/>
      <c r="I411" s="220"/>
      <c r="J411" s="213"/>
      <c r="K411" s="213"/>
      <c r="L411" s="213"/>
      <c r="M411" s="213"/>
      <c r="N411" s="213"/>
      <c r="O411" s="213"/>
      <c r="P411" s="213"/>
      <c r="Q411" s="213"/>
      <c r="R411" s="221"/>
    </row>
    <row r="412" spans="1:18" x14ac:dyDescent="0.2">
      <c r="A412" s="217"/>
      <c r="B412" s="218"/>
      <c r="C412" s="218"/>
      <c r="D412" s="217"/>
      <c r="E412" s="217"/>
      <c r="F412" s="217"/>
      <c r="G412" s="217"/>
      <c r="H412" s="219"/>
      <c r="I412" s="220"/>
      <c r="J412" s="213"/>
      <c r="K412" s="213"/>
      <c r="L412" s="213"/>
      <c r="M412" s="213"/>
      <c r="N412" s="213"/>
      <c r="O412" s="213"/>
      <c r="P412" s="213"/>
      <c r="Q412" s="213"/>
      <c r="R412" s="221"/>
    </row>
    <row r="413" spans="1:18" x14ac:dyDescent="0.2">
      <c r="A413" s="217"/>
      <c r="B413" s="218"/>
      <c r="C413" s="218"/>
      <c r="D413" s="217"/>
      <c r="E413" s="217"/>
      <c r="F413" s="217"/>
      <c r="G413" s="217"/>
      <c r="H413" s="219"/>
      <c r="I413" s="220"/>
      <c r="J413" s="213"/>
      <c r="K413" s="213"/>
      <c r="L413" s="213"/>
      <c r="M413" s="213"/>
      <c r="N413" s="213"/>
      <c r="O413" s="213"/>
      <c r="P413" s="213"/>
      <c r="Q413" s="213"/>
      <c r="R413" s="221"/>
    </row>
    <row r="414" spans="1:18" x14ac:dyDescent="0.2">
      <c r="A414" s="217"/>
      <c r="B414" s="218"/>
      <c r="C414" s="218"/>
      <c r="D414" s="217"/>
      <c r="E414" s="217"/>
      <c r="F414" s="217"/>
      <c r="G414" s="217"/>
      <c r="H414" s="219"/>
      <c r="I414" s="220"/>
      <c r="J414" s="213"/>
      <c r="K414" s="213"/>
      <c r="L414" s="213"/>
      <c r="M414" s="213"/>
      <c r="N414" s="213"/>
      <c r="O414" s="213"/>
      <c r="P414" s="213"/>
      <c r="Q414" s="213"/>
      <c r="R414" s="221"/>
    </row>
    <row r="415" spans="1:18" x14ac:dyDescent="0.2">
      <c r="A415" s="217"/>
      <c r="B415" s="218"/>
      <c r="C415" s="218"/>
      <c r="D415" s="217"/>
      <c r="E415" s="217"/>
      <c r="F415" s="217"/>
      <c r="G415" s="217"/>
      <c r="H415" s="219"/>
      <c r="I415" s="220"/>
      <c r="J415" s="213"/>
      <c r="K415" s="213"/>
      <c r="L415" s="213"/>
      <c r="M415" s="213"/>
      <c r="N415" s="213"/>
      <c r="O415" s="213"/>
      <c r="P415" s="213"/>
      <c r="Q415" s="213"/>
      <c r="R415" s="221"/>
    </row>
    <row r="416" spans="1:18" x14ac:dyDescent="0.2">
      <c r="A416" s="217"/>
      <c r="B416" s="218"/>
      <c r="C416" s="218"/>
      <c r="D416" s="217"/>
      <c r="E416" s="217"/>
      <c r="F416" s="217"/>
      <c r="G416" s="217"/>
      <c r="H416" s="219"/>
      <c r="I416" s="220"/>
      <c r="J416" s="213"/>
      <c r="K416" s="213"/>
      <c r="L416" s="213"/>
      <c r="M416" s="213"/>
      <c r="N416" s="213"/>
      <c r="O416" s="213"/>
      <c r="P416" s="213"/>
      <c r="Q416" s="213"/>
      <c r="R416" s="221"/>
    </row>
    <row r="417" spans="1:18" x14ac:dyDescent="0.2">
      <c r="A417" s="217"/>
      <c r="B417" s="218"/>
      <c r="C417" s="218"/>
      <c r="D417" s="217"/>
      <c r="E417" s="217"/>
      <c r="F417" s="217"/>
      <c r="G417" s="217"/>
      <c r="H417" s="219"/>
      <c r="I417" s="220"/>
      <c r="J417" s="213"/>
      <c r="K417" s="213"/>
      <c r="L417" s="213"/>
      <c r="M417" s="213"/>
      <c r="N417" s="213"/>
      <c r="O417" s="213"/>
      <c r="P417" s="213"/>
      <c r="Q417" s="213"/>
      <c r="R417" s="221"/>
    </row>
    <row r="418" spans="1:18" x14ac:dyDescent="0.2">
      <c r="A418" s="217"/>
      <c r="B418" s="218"/>
      <c r="C418" s="218"/>
      <c r="D418" s="217"/>
      <c r="E418" s="217"/>
      <c r="F418" s="217"/>
      <c r="G418" s="217"/>
      <c r="H418" s="219"/>
      <c r="I418" s="220"/>
      <c r="J418" s="213"/>
      <c r="K418" s="213"/>
      <c r="L418" s="213"/>
      <c r="M418" s="213"/>
      <c r="N418" s="213"/>
      <c r="O418" s="213"/>
      <c r="P418" s="213"/>
      <c r="Q418" s="213"/>
      <c r="R418" s="221"/>
    </row>
    <row r="419" spans="1:18" x14ac:dyDescent="0.2">
      <c r="A419" s="217"/>
      <c r="B419" s="218"/>
      <c r="C419" s="218"/>
      <c r="D419" s="217"/>
      <c r="E419" s="217"/>
      <c r="F419" s="217"/>
      <c r="G419" s="217"/>
      <c r="H419" s="219"/>
      <c r="I419" s="220"/>
      <c r="J419" s="213"/>
      <c r="K419" s="213"/>
      <c r="L419" s="213"/>
      <c r="M419" s="213"/>
      <c r="N419" s="213"/>
      <c r="O419" s="213"/>
      <c r="P419" s="213"/>
      <c r="Q419" s="213"/>
      <c r="R419" s="221"/>
    </row>
    <row r="420" spans="1:18" x14ac:dyDescent="0.2">
      <c r="A420" s="217"/>
      <c r="B420" s="218"/>
      <c r="C420" s="218"/>
      <c r="D420" s="217"/>
      <c r="E420" s="217"/>
      <c r="F420" s="217"/>
      <c r="G420" s="217"/>
      <c r="H420" s="219"/>
      <c r="I420" s="220"/>
      <c r="J420" s="213"/>
      <c r="K420" s="213"/>
      <c r="L420" s="213"/>
      <c r="M420" s="213"/>
      <c r="N420" s="213"/>
      <c r="O420" s="213"/>
      <c r="P420" s="213"/>
      <c r="Q420" s="213"/>
      <c r="R420" s="221"/>
    </row>
    <row r="421" spans="1:18" x14ac:dyDescent="0.2">
      <c r="A421" s="217"/>
      <c r="B421" s="218"/>
      <c r="C421" s="218"/>
      <c r="D421" s="217"/>
      <c r="E421" s="217"/>
      <c r="F421" s="217"/>
      <c r="G421" s="217"/>
      <c r="H421" s="219"/>
      <c r="I421" s="220"/>
      <c r="J421" s="213"/>
      <c r="K421" s="213"/>
      <c r="L421" s="213"/>
      <c r="M421" s="213"/>
      <c r="N421" s="213"/>
      <c r="O421" s="213"/>
      <c r="P421" s="213"/>
      <c r="Q421" s="213"/>
      <c r="R421" s="221"/>
    </row>
    <row r="422" spans="1:18" x14ac:dyDescent="0.2">
      <c r="A422" s="217"/>
      <c r="B422" s="218"/>
      <c r="C422" s="218"/>
      <c r="D422" s="217"/>
      <c r="E422" s="217"/>
      <c r="F422" s="217"/>
      <c r="G422" s="217"/>
      <c r="H422" s="219"/>
      <c r="I422" s="220"/>
      <c r="J422" s="213"/>
      <c r="K422" s="213"/>
      <c r="L422" s="213"/>
      <c r="M422" s="213"/>
      <c r="N422" s="213"/>
      <c r="O422" s="213"/>
      <c r="P422" s="213"/>
      <c r="Q422" s="213"/>
      <c r="R422" s="221"/>
    </row>
    <row r="423" spans="1:18" x14ac:dyDescent="0.2">
      <c r="A423" s="217"/>
      <c r="B423" s="218"/>
      <c r="C423" s="218"/>
      <c r="D423" s="217"/>
      <c r="E423" s="217"/>
      <c r="F423" s="217"/>
      <c r="G423" s="217"/>
      <c r="H423" s="219"/>
      <c r="I423" s="220"/>
      <c r="J423" s="213"/>
      <c r="K423" s="213"/>
      <c r="L423" s="213"/>
      <c r="M423" s="213"/>
      <c r="N423" s="213"/>
      <c r="O423" s="213"/>
      <c r="P423" s="213"/>
      <c r="Q423" s="213"/>
      <c r="R423" s="221"/>
    </row>
    <row r="424" spans="1:18" x14ac:dyDescent="0.2">
      <c r="A424" s="217"/>
      <c r="B424" s="218"/>
      <c r="C424" s="218"/>
      <c r="D424" s="217"/>
      <c r="E424" s="217"/>
      <c r="F424" s="217"/>
      <c r="G424" s="217"/>
      <c r="H424" s="219"/>
      <c r="I424" s="220"/>
      <c r="J424" s="213"/>
      <c r="K424" s="213"/>
      <c r="L424" s="213"/>
      <c r="M424" s="213"/>
      <c r="N424" s="213"/>
      <c r="O424" s="213"/>
      <c r="P424" s="213"/>
      <c r="Q424" s="213"/>
      <c r="R424" s="221"/>
    </row>
    <row r="425" spans="1:18" x14ac:dyDescent="0.2">
      <c r="A425" s="217"/>
      <c r="B425" s="218"/>
      <c r="C425" s="218"/>
      <c r="D425" s="217"/>
      <c r="E425" s="217"/>
      <c r="F425" s="217"/>
      <c r="G425" s="217"/>
      <c r="H425" s="219"/>
      <c r="I425" s="220"/>
      <c r="J425" s="213"/>
      <c r="K425" s="213"/>
      <c r="L425" s="213"/>
      <c r="M425" s="213"/>
      <c r="N425" s="213"/>
      <c r="O425" s="213"/>
      <c r="P425" s="213"/>
      <c r="Q425" s="213"/>
      <c r="R425" s="221"/>
    </row>
    <row r="426" spans="1:18" x14ac:dyDescent="0.2">
      <c r="A426" s="217"/>
      <c r="B426" s="218"/>
      <c r="C426" s="218"/>
      <c r="D426" s="217"/>
      <c r="E426" s="217"/>
      <c r="F426" s="217"/>
      <c r="G426" s="217"/>
      <c r="H426" s="219"/>
      <c r="I426" s="220"/>
      <c r="J426" s="213"/>
      <c r="K426" s="213"/>
      <c r="L426" s="213"/>
      <c r="M426" s="213"/>
      <c r="N426" s="213"/>
      <c r="O426" s="213"/>
      <c r="P426" s="213"/>
      <c r="Q426" s="213"/>
      <c r="R426" s="221"/>
    </row>
    <row r="427" spans="1:18" x14ac:dyDescent="0.2">
      <c r="A427" s="217"/>
      <c r="B427" s="218"/>
      <c r="C427" s="218"/>
      <c r="D427" s="217"/>
      <c r="E427" s="217"/>
      <c r="F427" s="217"/>
      <c r="G427" s="217"/>
      <c r="H427" s="219"/>
      <c r="I427" s="220"/>
      <c r="J427" s="213"/>
      <c r="K427" s="213"/>
      <c r="L427" s="213"/>
      <c r="M427" s="213"/>
      <c r="N427" s="213"/>
      <c r="O427" s="213"/>
      <c r="P427" s="213"/>
      <c r="Q427" s="213"/>
      <c r="R427" s="221"/>
    </row>
    <row r="428" spans="1:18" x14ac:dyDescent="0.2">
      <c r="A428" s="217"/>
      <c r="B428" s="218"/>
      <c r="C428" s="218"/>
      <c r="D428" s="217"/>
      <c r="E428" s="217"/>
      <c r="F428" s="217"/>
      <c r="G428" s="217"/>
      <c r="H428" s="219"/>
      <c r="I428" s="220"/>
      <c r="J428" s="213"/>
      <c r="K428" s="213"/>
      <c r="L428" s="213"/>
      <c r="M428" s="213"/>
      <c r="N428" s="213"/>
      <c r="O428" s="213"/>
      <c r="P428" s="213"/>
      <c r="Q428" s="213"/>
      <c r="R428" s="221"/>
    </row>
    <row r="429" spans="1:18" x14ac:dyDescent="0.2">
      <c r="A429" s="217"/>
      <c r="B429" s="218"/>
      <c r="C429" s="218"/>
      <c r="D429" s="217"/>
      <c r="E429" s="217"/>
      <c r="F429" s="217"/>
      <c r="G429" s="217"/>
      <c r="H429" s="219"/>
      <c r="I429" s="220"/>
      <c r="J429" s="213"/>
      <c r="K429" s="213"/>
      <c r="L429" s="213"/>
      <c r="M429" s="213"/>
      <c r="N429" s="213"/>
      <c r="O429" s="213"/>
      <c r="P429" s="213"/>
      <c r="Q429" s="213"/>
      <c r="R429" s="221"/>
    </row>
    <row r="430" spans="1:18" x14ac:dyDescent="0.2">
      <c r="A430" s="217"/>
      <c r="B430" s="218"/>
      <c r="C430" s="218"/>
      <c r="D430" s="217"/>
      <c r="E430" s="217"/>
      <c r="F430" s="217"/>
      <c r="G430" s="217"/>
      <c r="H430" s="219"/>
      <c r="I430" s="220"/>
      <c r="J430" s="213"/>
      <c r="K430" s="213"/>
      <c r="L430" s="213"/>
      <c r="M430" s="213"/>
      <c r="N430" s="213"/>
      <c r="O430" s="213"/>
      <c r="P430" s="213"/>
      <c r="Q430" s="213"/>
      <c r="R430" s="221"/>
    </row>
    <row r="431" spans="1:18" x14ac:dyDescent="0.2">
      <c r="A431" s="217"/>
      <c r="B431" s="218"/>
      <c r="C431" s="218"/>
      <c r="D431" s="217"/>
      <c r="E431" s="217"/>
      <c r="F431" s="217"/>
      <c r="G431" s="217"/>
      <c r="H431" s="219"/>
      <c r="I431" s="220"/>
      <c r="J431" s="213"/>
      <c r="K431" s="213"/>
      <c r="L431" s="213"/>
      <c r="M431" s="213"/>
      <c r="N431" s="213"/>
      <c r="O431" s="213"/>
      <c r="P431" s="213"/>
      <c r="Q431" s="213"/>
      <c r="R431" s="221"/>
    </row>
    <row r="432" spans="1:18" x14ac:dyDescent="0.2">
      <c r="A432" s="217"/>
      <c r="B432" s="218"/>
      <c r="C432" s="218"/>
      <c r="D432" s="217"/>
      <c r="E432" s="217"/>
      <c r="F432" s="217"/>
      <c r="G432" s="217"/>
      <c r="H432" s="219"/>
      <c r="I432" s="220"/>
      <c r="J432" s="213"/>
      <c r="K432" s="213"/>
      <c r="L432" s="213"/>
      <c r="M432" s="213"/>
      <c r="N432" s="213"/>
      <c r="O432" s="213"/>
      <c r="P432" s="213"/>
      <c r="Q432" s="213"/>
      <c r="R432" s="221"/>
    </row>
    <row r="433" spans="1:18" x14ac:dyDescent="0.2">
      <c r="A433" s="217"/>
      <c r="B433" s="218"/>
      <c r="C433" s="218"/>
      <c r="D433" s="217"/>
      <c r="E433" s="217"/>
      <c r="F433" s="217"/>
      <c r="G433" s="217"/>
      <c r="H433" s="219"/>
      <c r="I433" s="220"/>
      <c r="J433" s="213"/>
      <c r="K433" s="213"/>
      <c r="L433" s="213"/>
      <c r="M433" s="213"/>
      <c r="N433" s="213"/>
      <c r="O433" s="213"/>
      <c r="P433" s="213"/>
      <c r="Q433" s="213"/>
      <c r="R433" s="221"/>
    </row>
    <row r="434" spans="1:18" x14ac:dyDescent="0.2">
      <c r="A434" s="217"/>
      <c r="B434" s="218"/>
      <c r="C434" s="218"/>
      <c r="D434" s="217"/>
      <c r="E434" s="217"/>
      <c r="F434" s="217"/>
      <c r="G434" s="217"/>
      <c r="H434" s="219"/>
      <c r="I434" s="220"/>
      <c r="J434" s="213"/>
      <c r="K434" s="213"/>
      <c r="L434" s="213"/>
      <c r="M434" s="213"/>
      <c r="N434" s="213"/>
      <c r="O434" s="213"/>
      <c r="P434" s="213"/>
      <c r="Q434" s="213"/>
      <c r="R434" s="221"/>
    </row>
  </sheetData>
  <autoFilter ref="A7:R379">
    <filterColumn colId="3" showButton="0"/>
    <filterColumn colId="4" showButton="0"/>
    <filterColumn colId="5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198">
    <mergeCell ref="A369:B373"/>
    <mergeCell ref="R369:R373"/>
    <mergeCell ref="A374:B379"/>
    <mergeCell ref="R374:R379"/>
    <mergeCell ref="A381:G381"/>
    <mergeCell ref="A382:G382"/>
    <mergeCell ref="A354:A359"/>
    <mergeCell ref="B354:B359"/>
    <mergeCell ref="R354:R359"/>
    <mergeCell ref="A360:B365"/>
    <mergeCell ref="R360:R365"/>
    <mergeCell ref="A366:B368"/>
    <mergeCell ref="R366:R368"/>
    <mergeCell ref="A342:A347"/>
    <mergeCell ref="B342:B347"/>
    <mergeCell ref="R342:R347"/>
    <mergeCell ref="A348:A353"/>
    <mergeCell ref="B348:B353"/>
    <mergeCell ref="R348:R353"/>
    <mergeCell ref="A330:A335"/>
    <mergeCell ref="B330:B335"/>
    <mergeCell ref="R330:R335"/>
    <mergeCell ref="A336:A341"/>
    <mergeCell ref="B336:B341"/>
    <mergeCell ref="R336:R341"/>
    <mergeCell ref="A317:B322"/>
    <mergeCell ref="R317:R322"/>
    <mergeCell ref="A323:B323"/>
    <mergeCell ref="A324:A329"/>
    <mergeCell ref="B324:B329"/>
    <mergeCell ref="R324:R329"/>
    <mergeCell ref="A305:A310"/>
    <mergeCell ref="B305:B310"/>
    <mergeCell ref="R305:R310"/>
    <mergeCell ref="A311:A316"/>
    <mergeCell ref="B311:B316"/>
    <mergeCell ref="R311:R316"/>
    <mergeCell ref="A292:A297"/>
    <mergeCell ref="B292:B297"/>
    <mergeCell ref="R292:R297"/>
    <mergeCell ref="A298:B303"/>
    <mergeCell ref="R298:R303"/>
    <mergeCell ref="A304:B304"/>
    <mergeCell ref="A279:B284"/>
    <mergeCell ref="R279:R284"/>
    <mergeCell ref="A285:B285"/>
    <mergeCell ref="A286:A291"/>
    <mergeCell ref="B286:B291"/>
    <mergeCell ref="R286:R291"/>
    <mergeCell ref="A266:B271"/>
    <mergeCell ref="R266:R271"/>
    <mergeCell ref="A272:B272"/>
    <mergeCell ref="A273:A278"/>
    <mergeCell ref="B273:B278"/>
    <mergeCell ref="R273:R278"/>
    <mergeCell ref="A254:A259"/>
    <mergeCell ref="B254:B259"/>
    <mergeCell ref="R254:R259"/>
    <mergeCell ref="A260:A265"/>
    <mergeCell ref="B260:B265"/>
    <mergeCell ref="R260:R265"/>
    <mergeCell ref="A241:B246"/>
    <mergeCell ref="R241:R246"/>
    <mergeCell ref="A247:B247"/>
    <mergeCell ref="A248:A253"/>
    <mergeCell ref="B248:B253"/>
    <mergeCell ref="R248:R253"/>
    <mergeCell ref="A229:A234"/>
    <mergeCell ref="B229:B234"/>
    <mergeCell ref="R229:R234"/>
    <mergeCell ref="A235:A240"/>
    <mergeCell ref="B235:B240"/>
    <mergeCell ref="R235:R240"/>
    <mergeCell ref="A217:A222"/>
    <mergeCell ref="B217:B222"/>
    <mergeCell ref="R217:R222"/>
    <mergeCell ref="A223:A228"/>
    <mergeCell ref="B223:B228"/>
    <mergeCell ref="R223:R228"/>
    <mergeCell ref="A205:A210"/>
    <mergeCell ref="B205:B210"/>
    <mergeCell ref="R205:R210"/>
    <mergeCell ref="A211:A216"/>
    <mergeCell ref="B211:B216"/>
    <mergeCell ref="R211:R216"/>
    <mergeCell ref="A192:B197"/>
    <mergeCell ref="R192:R197"/>
    <mergeCell ref="A198:B198"/>
    <mergeCell ref="A199:A204"/>
    <mergeCell ref="B199:B204"/>
    <mergeCell ref="R199:R204"/>
    <mergeCell ref="A179:B184"/>
    <mergeCell ref="R179:R184"/>
    <mergeCell ref="A185:B185"/>
    <mergeCell ref="A186:A191"/>
    <mergeCell ref="B186:B191"/>
    <mergeCell ref="R186:R191"/>
    <mergeCell ref="A166:B171"/>
    <mergeCell ref="R166:R171"/>
    <mergeCell ref="A172:B172"/>
    <mergeCell ref="A173:A178"/>
    <mergeCell ref="B173:B178"/>
    <mergeCell ref="R173:R178"/>
    <mergeCell ref="A154:A159"/>
    <mergeCell ref="B154:B159"/>
    <mergeCell ref="R154:R159"/>
    <mergeCell ref="A160:A165"/>
    <mergeCell ref="B160:B165"/>
    <mergeCell ref="R160:R165"/>
    <mergeCell ref="A141:A146"/>
    <mergeCell ref="B141:B146"/>
    <mergeCell ref="R141:R146"/>
    <mergeCell ref="A147:B152"/>
    <mergeCell ref="R147:R153"/>
    <mergeCell ref="A153:B153"/>
    <mergeCell ref="A129:A134"/>
    <mergeCell ref="B129:B134"/>
    <mergeCell ref="R129:R134"/>
    <mergeCell ref="A135:A140"/>
    <mergeCell ref="B135:B140"/>
    <mergeCell ref="R135:R140"/>
    <mergeCell ref="A117:A122"/>
    <mergeCell ref="B117:B122"/>
    <mergeCell ref="R117:R122"/>
    <mergeCell ref="A123:A128"/>
    <mergeCell ref="B123:B128"/>
    <mergeCell ref="R123:R128"/>
    <mergeCell ref="A104:B109"/>
    <mergeCell ref="R104:R109"/>
    <mergeCell ref="A110:B110"/>
    <mergeCell ref="A111:A116"/>
    <mergeCell ref="B111:B116"/>
    <mergeCell ref="R111:R116"/>
    <mergeCell ref="A85:A90"/>
    <mergeCell ref="B85:B90"/>
    <mergeCell ref="R85:R90"/>
    <mergeCell ref="A91:B96"/>
    <mergeCell ref="R91:R96"/>
    <mergeCell ref="A97:B97"/>
    <mergeCell ref="R97:R103"/>
    <mergeCell ref="A98:A103"/>
    <mergeCell ref="B98:B103"/>
    <mergeCell ref="A73:A78"/>
    <mergeCell ref="B73:B78"/>
    <mergeCell ref="R73:R78"/>
    <mergeCell ref="A79:A84"/>
    <mergeCell ref="B79:B84"/>
    <mergeCell ref="R79:R84"/>
    <mergeCell ref="A60:A65"/>
    <mergeCell ref="B60:B65"/>
    <mergeCell ref="R60:R65"/>
    <mergeCell ref="A66:B71"/>
    <mergeCell ref="R66:R71"/>
    <mergeCell ref="A72:B72"/>
    <mergeCell ref="A47:B52"/>
    <mergeCell ref="R47:R52"/>
    <mergeCell ref="A53:B53"/>
    <mergeCell ref="A54:A59"/>
    <mergeCell ref="B54:B59"/>
    <mergeCell ref="R54:R59"/>
    <mergeCell ref="A35:A40"/>
    <mergeCell ref="B35:B40"/>
    <mergeCell ref="R35:R40"/>
    <mergeCell ref="A41:A46"/>
    <mergeCell ref="B41:B46"/>
    <mergeCell ref="R41:R46"/>
    <mergeCell ref="A29:A34"/>
    <mergeCell ref="B29:B34"/>
    <mergeCell ref="R29:R34"/>
    <mergeCell ref="A10:B10"/>
    <mergeCell ref="A11:A16"/>
    <mergeCell ref="B11:B16"/>
    <mergeCell ref="R11:R16"/>
    <mergeCell ref="A17:A22"/>
    <mergeCell ref="B17:B22"/>
    <mergeCell ref="R17:R22"/>
    <mergeCell ref="R7:R9"/>
    <mergeCell ref="J8:J9"/>
    <mergeCell ref="K8:K9"/>
    <mergeCell ref="L8:L9"/>
    <mergeCell ref="M8:M9"/>
    <mergeCell ref="N8:O8"/>
    <mergeCell ref="P8:Q8"/>
    <mergeCell ref="A23:A28"/>
    <mergeCell ref="B23:B28"/>
    <mergeCell ref="R23:R28"/>
    <mergeCell ref="K1:Q1"/>
    <mergeCell ref="K2:Q2"/>
    <mergeCell ref="K3:Q3"/>
    <mergeCell ref="A5:Q5"/>
    <mergeCell ref="A7:A9"/>
    <mergeCell ref="B7:B9"/>
    <mergeCell ref="C7:C9"/>
    <mergeCell ref="D7:G8"/>
    <mergeCell ref="H7:H9"/>
    <mergeCell ref="I7:I9"/>
    <mergeCell ref="J7:M7"/>
    <mergeCell ref="N7:Q7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>
    <oddFooter>Страница &amp;P</oddFooter>
  </headerFooter>
  <rowBreaks count="4" manualBreakCount="4">
    <brk id="71" max="17" man="1"/>
    <brk id="152" max="17" man="1"/>
    <brk id="228" max="17" man="1"/>
    <brk id="3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60"/>
  <sheetViews>
    <sheetView tabSelected="1" view="pageBreakPreview" zoomScale="70" zoomScaleNormal="70" zoomScaleSheetLayoutView="70" workbookViewId="0">
      <pane xSplit="3" ySplit="9" topLeftCell="D394" activePane="bottomRight" state="frozen"/>
      <selection pane="topRight" activeCell="D1" sqref="D1"/>
      <selection pane="bottomLeft" activeCell="A18" sqref="A18"/>
      <selection pane="bottomRight" activeCell="C415" sqref="C415"/>
    </sheetView>
  </sheetViews>
  <sheetFormatPr defaultRowHeight="12.75" outlineLevelRow="1" x14ac:dyDescent="0.2"/>
  <cols>
    <col min="1" max="1" width="4.140625" style="11" customWidth="1"/>
    <col min="2" max="2" width="43.140625" style="3" customWidth="1"/>
    <col min="3" max="3" width="17" style="3" customWidth="1"/>
    <col min="4" max="4" width="17.7109375" style="11" customWidth="1"/>
    <col min="5" max="5" width="20.140625" style="11" customWidth="1"/>
    <col min="6" max="6" width="17.85546875" style="11" customWidth="1"/>
    <col min="7" max="7" width="18.28515625" style="11" customWidth="1"/>
    <col min="8" max="8" width="17.7109375" style="2" customWidth="1"/>
    <col min="9" max="9" width="15.7109375" style="1" customWidth="1"/>
    <col min="10" max="10" width="18.28515625" style="15" customWidth="1"/>
    <col min="11" max="11" width="15.85546875" style="15" customWidth="1"/>
    <col min="12" max="12" width="13.85546875" style="15" customWidth="1"/>
    <col min="13" max="13" width="17.5703125" style="15" customWidth="1"/>
    <col min="14" max="14" width="15.42578125" style="15" customWidth="1"/>
    <col min="15" max="15" width="15.140625" style="15" customWidth="1"/>
    <col min="16" max="16" width="15.5703125" style="15" customWidth="1"/>
    <col min="17" max="17" width="14.7109375" style="15" customWidth="1"/>
    <col min="18" max="18" width="44.7109375" style="19" hidden="1" customWidth="1"/>
    <col min="19" max="19" width="16.140625" style="1" customWidth="1"/>
    <col min="20" max="16384" width="9.140625" style="1"/>
  </cols>
  <sheetData>
    <row r="1" spans="1:18" ht="37.5" customHeight="1" outlineLevel="1" x14ac:dyDescent="0.2">
      <c r="K1" s="475" t="s">
        <v>82</v>
      </c>
      <c r="L1" s="475"/>
      <c r="M1" s="475"/>
      <c r="N1" s="475"/>
      <c r="O1" s="475"/>
      <c r="P1" s="475"/>
      <c r="Q1" s="475"/>
      <c r="R1" s="30"/>
    </row>
    <row r="2" spans="1:18" ht="15.75" outlineLevel="1" x14ac:dyDescent="0.2">
      <c r="K2" s="475" t="s">
        <v>36</v>
      </c>
      <c r="L2" s="475"/>
      <c r="M2" s="475"/>
      <c r="N2" s="475"/>
      <c r="O2" s="475"/>
      <c r="P2" s="475"/>
      <c r="Q2" s="475"/>
      <c r="R2" s="18"/>
    </row>
    <row r="3" spans="1:18" ht="15.75" outlineLevel="1" x14ac:dyDescent="0.2">
      <c r="K3" s="475" t="s">
        <v>222</v>
      </c>
      <c r="L3" s="475"/>
      <c r="M3" s="475"/>
      <c r="N3" s="475"/>
      <c r="O3" s="475"/>
      <c r="P3" s="475"/>
      <c r="Q3" s="475"/>
      <c r="R3" s="18"/>
    </row>
    <row r="4" spans="1:18" ht="18.75" outlineLevel="1" x14ac:dyDescent="0.2">
      <c r="L4" s="83"/>
      <c r="M4" s="84"/>
      <c r="N4" s="85"/>
      <c r="O4" s="85"/>
      <c r="P4" s="85"/>
      <c r="Q4" s="84"/>
      <c r="R4" s="18"/>
    </row>
    <row r="5" spans="1:18" ht="44.25" customHeight="1" x14ac:dyDescent="0.2">
      <c r="A5" s="476" t="s">
        <v>193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18"/>
    </row>
    <row r="6" spans="1:18" ht="17.25" customHeight="1" x14ac:dyDescent="0.2">
      <c r="A6" s="12"/>
      <c r="B6" s="6"/>
      <c r="C6" s="6"/>
      <c r="D6" s="12"/>
      <c r="E6" s="14"/>
      <c r="F6" s="12"/>
      <c r="G6" s="12"/>
      <c r="H6" s="5"/>
      <c r="I6" s="4"/>
      <c r="J6" s="16"/>
      <c r="K6" s="16"/>
      <c r="L6" s="16"/>
      <c r="M6" s="16"/>
      <c r="N6" s="16"/>
      <c r="O6" s="16"/>
      <c r="P6" s="16"/>
      <c r="Q6" s="16"/>
      <c r="R6" s="18"/>
    </row>
    <row r="7" spans="1:18" ht="33.75" customHeight="1" x14ac:dyDescent="0.2">
      <c r="A7" s="477" t="s">
        <v>119</v>
      </c>
      <c r="B7" s="478" t="s">
        <v>15</v>
      </c>
      <c r="C7" s="477" t="s">
        <v>16</v>
      </c>
      <c r="D7" s="477" t="s">
        <v>40</v>
      </c>
      <c r="E7" s="477"/>
      <c r="F7" s="477"/>
      <c r="G7" s="477"/>
      <c r="H7" s="477" t="s">
        <v>17</v>
      </c>
      <c r="I7" s="477" t="s">
        <v>37</v>
      </c>
      <c r="J7" s="479" t="s">
        <v>18</v>
      </c>
      <c r="K7" s="480"/>
      <c r="L7" s="480"/>
      <c r="M7" s="481"/>
      <c r="N7" s="464" t="s">
        <v>19</v>
      </c>
      <c r="O7" s="464"/>
      <c r="P7" s="464"/>
      <c r="Q7" s="464"/>
      <c r="R7" s="482" t="s">
        <v>120</v>
      </c>
    </row>
    <row r="8" spans="1:18" ht="21" customHeight="1" x14ac:dyDescent="0.2">
      <c r="A8" s="477"/>
      <c r="B8" s="478"/>
      <c r="C8" s="477"/>
      <c r="D8" s="477"/>
      <c r="E8" s="477"/>
      <c r="F8" s="477"/>
      <c r="G8" s="477"/>
      <c r="H8" s="477"/>
      <c r="I8" s="477"/>
      <c r="J8" s="483" t="s">
        <v>1</v>
      </c>
      <c r="K8" s="483" t="s">
        <v>2</v>
      </c>
      <c r="L8" s="485" t="s">
        <v>20</v>
      </c>
      <c r="M8" s="464" t="s">
        <v>3</v>
      </c>
      <c r="N8" s="464" t="s">
        <v>1</v>
      </c>
      <c r="O8" s="464"/>
      <c r="P8" s="464" t="s">
        <v>2</v>
      </c>
      <c r="Q8" s="464"/>
      <c r="R8" s="482"/>
    </row>
    <row r="9" spans="1:18" ht="60.75" customHeight="1" x14ac:dyDescent="0.2">
      <c r="A9" s="477"/>
      <c r="B9" s="478"/>
      <c r="C9" s="477"/>
      <c r="D9" s="9" t="s">
        <v>42</v>
      </c>
      <c r="E9" s="9" t="s">
        <v>43</v>
      </c>
      <c r="F9" s="9" t="s">
        <v>50</v>
      </c>
      <c r="G9" s="9" t="s">
        <v>41</v>
      </c>
      <c r="H9" s="477"/>
      <c r="I9" s="477"/>
      <c r="J9" s="484"/>
      <c r="K9" s="484"/>
      <c r="L9" s="486"/>
      <c r="M9" s="464"/>
      <c r="N9" s="346" t="s">
        <v>21</v>
      </c>
      <c r="O9" s="346" t="s">
        <v>22</v>
      </c>
      <c r="P9" s="346" t="s">
        <v>21</v>
      </c>
      <c r="Q9" s="346" t="s">
        <v>22</v>
      </c>
      <c r="R9" s="482"/>
    </row>
    <row r="10" spans="1:18" ht="17.25" customHeight="1" x14ac:dyDescent="0.2">
      <c r="A10" s="473" t="s">
        <v>5</v>
      </c>
      <c r="B10" s="474"/>
      <c r="C10" s="7"/>
      <c r="D10" s="10"/>
      <c r="E10" s="343"/>
      <c r="F10" s="10"/>
      <c r="G10" s="10"/>
      <c r="H10" s="8"/>
      <c r="I10" s="7"/>
      <c r="J10" s="17"/>
      <c r="K10" s="17"/>
      <c r="L10" s="17"/>
      <c r="M10" s="17"/>
      <c r="N10" s="7"/>
      <c r="O10" s="7"/>
      <c r="P10" s="7"/>
      <c r="Q10" s="7"/>
    </row>
    <row r="11" spans="1:18" s="83" customFormat="1" ht="17.25" hidden="1" customHeight="1" outlineLevel="1" x14ac:dyDescent="0.25">
      <c r="A11" s="464"/>
      <c r="B11" s="488"/>
      <c r="C11" s="344"/>
      <c r="D11" s="346"/>
      <c r="E11" s="346"/>
      <c r="F11" s="345"/>
      <c r="G11" s="91"/>
      <c r="H11" s="347"/>
      <c r="I11" s="348"/>
      <c r="J11" s="92"/>
      <c r="K11" s="92"/>
      <c r="L11" s="92"/>
      <c r="M11" s="92"/>
      <c r="N11" s="346"/>
      <c r="O11" s="346"/>
      <c r="P11" s="349"/>
      <c r="Q11" s="346"/>
      <c r="R11" s="466"/>
    </row>
    <row r="12" spans="1:18" ht="15" hidden="1" customHeight="1" outlineLevel="1" x14ac:dyDescent="0.2">
      <c r="A12" s="464"/>
      <c r="B12" s="489"/>
      <c r="C12" s="350"/>
      <c r="D12" s="346"/>
      <c r="E12" s="346"/>
      <c r="F12" s="345"/>
      <c r="G12" s="345"/>
      <c r="H12" s="351"/>
      <c r="I12" s="352"/>
      <c r="J12" s="94"/>
      <c r="K12" s="94"/>
      <c r="L12" s="94"/>
      <c r="M12" s="94"/>
      <c r="N12" s="97"/>
      <c r="O12" s="97"/>
      <c r="P12" s="97"/>
      <c r="Q12" s="97"/>
      <c r="R12" s="466"/>
    </row>
    <row r="13" spans="1:18" ht="15" hidden="1" customHeight="1" outlineLevel="1" x14ac:dyDescent="0.2">
      <c r="A13" s="464"/>
      <c r="B13" s="489"/>
      <c r="C13" s="350"/>
      <c r="D13" s="346"/>
      <c r="E13" s="346"/>
      <c r="F13" s="345"/>
      <c r="G13" s="345"/>
      <c r="H13" s="351"/>
      <c r="I13" s="352"/>
      <c r="J13" s="94"/>
      <c r="K13" s="94"/>
      <c r="L13" s="94"/>
      <c r="M13" s="94"/>
      <c r="N13" s="97"/>
      <c r="O13" s="97"/>
      <c r="P13" s="97"/>
      <c r="Q13" s="97"/>
      <c r="R13" s="466"/>
    </row>
    <row r="14" spans="1:18" ht="15" hidden="1" customHeight="1" outlineLevel="1" x14ac:dyDescent="0.2">
      <c r="A14" s="464"/>
      <c r="B14" s="489"/>
      <c r="C14" s="350"/>
      <c r="D14" s="346"/>
      <c r="E14" s="346"/>
      <c r="F14" s="345"/>
      <c r="G14" s="345"/>
      <c r="H14" s="351"/>
      <c r="I14" s="352"/>
      <c r="J14" s="94"/>
      <c r="K14" s="94"/>
      <c r="L14" s="94"/>
      <c r="M14" s="94"/>
      <c r="N14" s="97"/>
      <c r="O14" s="97"/>
      <c r="P14" s="97"/>
      <c r="Q14" s="97"/>
      <c r="R14" s="466"/>
    </row>
    <row r="15" spans="1:18" ht="15" hidden="1" customHeight="1" outlineLevel="1" x14ac:dyDescent="0.2">
      <c r="A15" s="464"/>
      <c r="B15" s="489"/>
      <c r="C15" s="350"/>
      <c r="D15" s="345"/>
      <c r="E15" s="345"/>
      <c r="F15" s="345"/>
      <c r="G15" s="345"/>
      <c r="H15" s="351"/>
      <c r="I15" s="353"/>
      <c r="J15" s="354"/>
      <c r="K15" s="354"/>
      <c r="L15" s="354"/>
      <c r="M15" s="94"/>
      <c r="N15" s="97"/>
      <c r="O15" s="97"/>
      <c r="P15" s="97"/>
      <c r="Q15" s="97"/>
      <c r="R15" s="466"/>
    </row>
    <row r="16" spans="1:18" ht="15" hidden="1" customHeight="1" outlineLevel="1" x14ac:dyDescent="0.2">
      <c r="A16" s="464"/>
      <c r="B16" s="490"/>
      <c r="C16" s="35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7"/>
      <c r="O16" s="97"/>
      <c r="P16" s="97"/>
      <c r="Q16" s="97"/>
      <c r="R16" s="466"/>
    </row>
    <row r="17" spans="1:18" s="11" customFormat="1" ht="15" customHeight="1" collapsed="1" x14ac:dyDescent="0.2">
      <c r="A17" s="464">
        <v>1</v>
      </c>
      <c r="B17" s="465" t="s">
        <v>215</v>
      </c>
      <c r="C17" s="344" t="s">
        <v>25</v>
      </c>
      <c r="D17" s="355"/>
      <c r="E17" s="356"/>
      <c r="F17" s="357"/>
      <c r="G17" s="357"/>
      <c r="H17" s="303">
        <f>SUM(I17:L17)</f>
        <v>0</v>
      </c>
      <c r="I17" s="358"/>
      <c r="J17" s="92"/>
      <c r="K17" s="92"/>
      <c r="L17" s="92"/>
      <c r="M17" s="293">
        <f>J17+K17+L17</f>
        <v>0</v>
      </c>
      <c r="N17" s="346"/>
      <c r="O17" s="349"/>
      <c r="P17" s="349"/>
      <c r="Q17" s="346"/>
      <c r="R17" s="491"/>
    </row>
    <row r="18" spans="1:18" ht="15" customHeight="1" x14ac:dyDescent="0.2">
      <c r="A18" s="464"/>
      <c r="B18" s="465"/>
      <c r="C18" s="350">
        <v>2022</v>
      </c>
      <c r="D18" s="355"/>
      <c r="E18" s="356"/>
      <c r="F18" s="357"/>
      <c r="G18" s="357"/>
      <c r="H18" s="303">
        <f t="shared" ref="H18:H21" si="0">SUM(I18:L18)</f>
        <v>0</v>
      </c>
      <c r="I18" s="352"/>
      <c r="J18" s="94"/>
      <c r="K18" s="94"/>
      <c r="L18" s="94"/>
      <c r="M18" s="293">
        <f t="shared" ref="M18:M21" si="1">J18+K18+L18</f>
        <v>0</v>
      </c>
      <c r="N18" s="97"/>
      <c r="O18" s="97"/>
      <c r="P18" s="359"/>
      <c r="Q18" s="97"/>
      <c r="R18" s="491"/>
    </row>
    <row r="19" spans="1:18" ht="15" customHeight="1" x14ac:dyDescent="0.2">
      <c r="A19" s="464"/>
      <c r="B19" s="465"/>
      <c r="C19" s="350" t="s">
        <v>39</v>
      </c>
      <c r="D19" s="355"/>
      <c r="E19" s="355"/>
      <c r="F19" s="357"/>
      <c r="G19" s="357"/>
      <c r="H19" s="303">
        <f t="shared" si="0"/>
        <v>0</v>
      </c>
      <c r="I19" s="352"/>
      <c r="J19" s="94"/>
      <c r="K19" s="94"/>
      <c r="L19" s="94"/>
      <c r="M19" s="293">
        <f t="shared" si="1"/>
        <v>0</v>
      </c>
      <c r="N19" s="97"/>
      <c r="O19" s="97"/>
      <c r="P19" s="97"/>
      <c r="Q19" s="97"/>
      <c r="R19" s="491"/>
    </row>
    <row r="20" spans="1:18" ht="15" customHeight="1" x14ac:dyDescent="0.2">
      <c r="A20" s="464"/>
      <c r="B20" s="465"/>
      <c r="C20" s="350" t="s">
        <v>191</v>
      </c>
      <c r="D20" s="355">
        <v>1</v>
      </c>
      <c r="E20" s="355">
        <v>80</v>
      </c>
      <c r="F20" s="357">
        <v>0.1</v>
      </c>
      <c r="G20" s="357">
        <v>1.55</v>
      </c>
      <c r="H20" s="303">
        <f t="shared" si="0"/>
        <v>3536</v>
      </c>
      <c r="I20" s="352"/>
      <c r="J20" s="94">
        <v>2036</v>
      </c>
      <c r="K20" s="94">
        <v>1500</v>
      </c>
      <c r="L20" s="94"/>
      <c r="M20" s="293">
        <f t="shared" si="1"/>
        <v>3536</v>
      </c>
      <c r="N20" s="97" t="s">
        <v>28</v>
      </c>
      <c r="O20" s="97" t="s">
        <v>53</v>
      </c>
      <c r="P20" s="97" t="s">
        <v>57</v>
      </c>
      <c r="Q20" s="97"/>
      <c r="R20" s="491"/>
    </row>
    <row r="21" spans="1:18" ht="15" customHeight="1" x14ac:dyDescent="0.2">
      <c r="A21" s="464"/>
      <c r="B21" s="465"/>
      <c r="C21" s="350">
        <v>2025</v>
      </c>
      <c r="D21" s="355"/>
      <c r="E21" s="355"/>
      <c r="F21" s="360"/>
      <c r="G21" s="360"/>
      <c r="H21" s="303">
        <f t="shared" si="0"/>
        <v>2800</v>
      </c>
      <c r="I21" s="361"/>
      <c r="J21" s="362"/>
      <c r="K21" s="362">
        <v>2800</v>
      </c>
      <c r="L21" s="362"/>
      <c r="M21" s="293">
        <f t="shared" si="1"/>
        <v>2800</v>
      </c>
      <c r="N21" s="346"/>
      <c r="O21" s="346"/>
      <c r="P21" s="97"/>
      <c r="Q21" s="97" t="s">
        <v>48</v>
      </c>
      <c r="R21" s="491"/>
    </row>
    <row r="22" spans="1:18" ht="15" customHeight="1" x14ac:dyDescent="0.2">
      <c r="A22" s="464"/>
      <c r="B22" s="465"/>
      <c r="C22" s="325" t="s">
        <v>26</v>
      </c>
      <c r="D22" s="363">
        <f>SUM(D17:D21)</f>
        <v>1</v>
      </c>
      <c r="E22" s="363">
        <f t="shared" ref="E22:G22" si="2">SUM(E17:E21)</f>
        <v>80</v>
      </c>
      <c r="F22" s="363">
        <f t="shared" si="2"/>
        <v>0.1</v>
      </c>
      <c r="G22" s="363">
        <f t="shared" si="2"/>
        <v>1.55</v>
      </c>
      <c r="H22" s="363">
        <f t="shared" ref="H22" si="3">SUM(H17:H21)</f>
        <v>6336</v>
      </c>
      <c r="I22" s="363">
        <f>SUM(I17:I21)</f>
        <v>0</v>
      </c>
      <c r="J22" s="363">
        <f>SUM(J17:J21)</f>
        <v>2036</v>
      </c>
      <c r="K22" s="363">
        <f t="shared" ref="K22" si="4">SUM(K17:K21)</f>
        <v>4300</v>
      </c>
      <c r="L22" s="363">
        <f t="shared" ref="L22" si="5">SUM(L17:L21)</f>
        <v>0</v>
      </c>
      <c r="M22" s="293">
        <f>J22+K22+L22</f>
        <v>6336</v>
      </c>
      <c r="N22" s="97"/>
      <c r="O22" s="97"/>
      <c r="P22" s="97"/>
      <c r="Q22" s="97"/>
      <c r="R22" s="491"/>
    </row>
    <row r="23" spans="1:18" s="13" customFormat="1" ht="15" customHeight="1" x14ac:dyDescent="0.2">
      <c r="A23" s="411">
        <v>2</v>
      </c>
      <c r="B23" s="487" t="s">
        <v>90</v>
      </c>
      <c r="C23" s="325">
        <v>2021</v>
      </c>
      <c r="D23" s="342">
        <v>2462</v>
      </c>
      <c r="E23" s="342">
        <v>2107.44</v>
      </c>
      <c r="F23" s="341">
        <v>5.1020000000000003</v>
      </c>
      <c r="G23" s="364">
        <v>5.56</v>
      </c>
      <c r="H23" s="303">
        <f>SUM(I23:L23)</f>
        <v>85025.455000000002</v>
      </c>
      <c r="I23" s="365">
        <v>81835.375</v>
      </c>
      <c r="J23" s="86">
        <v>0</v>
      </c>
      <c r="K23" s="86">
        <f>2690.08+500</f>
        <v>3190.08</v>
      </c>
      <c r="L23" s="293"/>
      <c r="M23" s="293">
        <f>J23+K23+L23</f>
        <v>3190.08</v>
      </c>
      <c r="N23" s="366">
        <v>43466</v>
      </c>
      <c r="O23" s="366">
        <v>44044</v>
      </c>
      <c r="P23" s="366">
        <v>44044</v>
      </c>
      <c r="Q23" s="323" t="s">
        <v>47</v>
      </c>
      <c r="R23" s="419" t="s">
        <v>102</v>
      </c>
    </row>
    <row r="24" spans="1:18" s="13" customFormat="1" ht="15" customHeight="1" x14ac:dyDescent="0.2">
      <c r="A24" s="411"/>
      <c r="B24" s="487"/>
      <c r="C24" s="325">
        <v>2022</v>
      </c>
      <c r="D24" s="342"/>
      <c r="E24" s="342"/>
      <c r="F24" s="341"/>
      <c r="G24" s="341"/>
      <c r="H24" s="303">
        <f t="shared" ref="H24:H27" si="6">SUM(I24:L24)</f>
        <v>0</v>
      </c>
      <c r="I24" s="365"/>
      <c r="J24" s="86"/>
      <c r="K24" s="86"/>
      <c r="L24" s="293"/>
      <c r="M24" s="293">
        <f t="shared" ref="M24:M46" si="7">J24+K24+L24</f>
        <v>0</v>
      </c>
      <c r="N24" s="323"/>
      <c r="O24" s="323"/>
      <c r="P24" s="323"/>
      <c r="Q24" s="323"/>
      <c r="R24" s="420"/>
    </row>
    <row r="25" spans="1:18" s="13" customFormat="1" ht="15" customHeight="1" x14ac:dyDescent="0.2">
      <c r="A25" s="411"/>
      <c r="B25" s="487"/>
      <c r="C25" s="325" t="s">
        <v>39</v>
      </c>
      <c r="D25" s="342"/>
      <c r="E25" s="342"/>
      <c r="F25" s="341"/>
      <c r="G25" s="341"/>
      <c r="H25" s="303">
        <f t="shared" si="6"/>
        <v>0</v>
      </c>
      <c r="I25" s="365"/>
      <c r="J25" s="293"/>
      <c r="K25" s="293"/>
      <c r="L25" s="293"/>
      <c r="M25" s="293">
        <f t="shared" si="7"/>
        <v>0</v>
      </c>
      <c r="N25" s="323"/>
      <c r="O25" s="323"/>
      <c r="P25" s="323"/>
      <c r="Q25" s="323"/>
      <c r="R25" s="420"/>
    </row>
    <row r="26" spans="1:18" s="13" customFormat="1" ht="15" customHeight="1" x14ac:dyDescent="0.2">
      <c r="A26" s="411"/>
      <c r="B26" s="487"/>
      <c r="C26" s="325" t="s">
        <v>191</v>
      </c>
      <c r="D26" s="342"/>
      <c r="E26" s="342"/>
      <c r="F26" s="341"/>
      <c r="G26" s="341"/>
      <c r="H26" s="303">
        <f t="shared" si="6"/>
        <v>0</v>
      </c>
      <c r="I26" s="365"/>
      <c r="J26" s="293"/>
      <c r="K26" s="293"/>
      <c r="L26" s="293"/>
      <c r="M26" s="293">
        <f t="shared" si="7"/>
        <v>0</v>
      </c>
      <c r="N26" s="323"/>
      <c r="O26" s="323"/>
      <c r="P26" s="323"/>
      <c r="Q26" s="323"/>
      <c r="R26" s="420"/>
    </row>
    <row r="27" spans="1:18" s="13" customFormat="1" ht="15" customHeight="1" x14ac:dyDescent="0.2">
      <c r="A27" s="411"/>
      <c r="B27" s="487"/>
      <c r="C27" s="325">
        <v>2025</v>
      </c>
      <c r="D27" s="342"/>
      <c r="E27" s="342"/>
      <c r="F27" s="367"/>
      <c r="G27" s="368"/>
      <c r="H27" s="303">
        <f t="shared" si="6"/>
        <v>0</v>
      </c>
      <c r="I27" s="369"/>
      <c r="J27" s="370"/>
      <c r="K27" s="371"/>
      <c r="L27" s="371"/>
      <c r="M27" s="293">
        <f t="shared" si="7"/>
        <v>0</v>
      </c>
      <c r="N27" s="342"/>
      <c r="O27" s="342"/>
      <c r="P27" s="323"/>
      <c r="Q27" s="323"/>
      <c r="R27" s="420"/>
    </row>
    <row r="28" spans="1:18" s="13" customFormat="1" ht="15" customHeight="1" x14ac:dyDescent="0.2">
      <c r="A28" s="411"/>
      <c r="B28" s="487"/>
      <c r="C28" s="325" t="s">
        <v>26</v>
      </c>
      <c r="D28" s="95">
        <f t="shared" ref="D28:L28" si="8">SUM(D23:D27)</f>
        <v>2462</v>
      </c>
      <c r="E28" s="95">
        <f t="shared" si="8"/>
        <v>2107.44</v>
      </c>
      <c r="F28" s="95">
        <f t="shared" si="8"/>
        <v>5.1020000000000003</v>
      </c>
      <c r="G28" s="95">
        <f t="shared" si="8"/>
        <v>5.56</v>
      </c>
      <c r="H28" s="95">
        <f>SUM(H23:H27)</f>
        <v>85025.455000000002</v>
      </c>
      <c r="I28" s="95">
        <f>SUM(I23:I27)</f>
        <v>81835.375</v>
      </c>
      <c r="J28" s="307">
        <f t="shared" si="8"/>
        <v>0</v>
      </c>
      <c r="K28" s="307">
        <f t="shared" si="8"/>
        <v>3190.08</v>
      </c>
      <c r="L28" s="307">
        <f t="shared" si="8"/>
        <v>0</v>
      </c>
      <c r="M28" s="293">
        <f>J28+K28+L28</f>
        <v>3190.08</v>
      </c>
      <c r="N28" s="323"/>
      <c r="O28" s="323"/>
      <c r="P28" s="323"/>
      <c r="Q28" s="323"/>
      <c r="R28" s="421"/>
    </row>
    <row r="29" spans="1:18" s="13" customFormat="1" ht="15" customHeight="1" x14ac:dyDescent="0.2">
      <c r="A29" s="411">
        <v>3</v>
      </c>
      <c r="B29" s="487" t="s">
        <v>80</v>
      </c>
      <c r="C29" s="325">
        <v>2021</v>
      </c>
      <c r="D29" s="342"/>
      <c r="E29" s="342"/>
      <c r="F29" s="341"/>
      <c r="G29" s="364"/>
      <c r="H29" s="303">
        <f>SUM(I29:L29)</f>
        <v>0</v>
      </c>
      <c r="I29" s="365"/>
      <c r="J29" s="293"/>
      <c r="K29" s="293"/>
      <c r="L29" s="293"/>
      <c r="M29" s="293">
        <f t="shared" si="7"/>
        <v>0</v>
      </c>
      <c r="N29" s="323"/>
      <c r="O29" s="323"/>
      <c r="P29" s="323"/>
      <c r="Q29" s="323"/>
      <c r="R29" s="422"/>
    </row>
    <row r="30" spans="1:18" s="13" customFormat="1" ht="15" customHeight="1" x14ac:dyDescent="0.2">
      <c r="A30" s="411"/>
      <c r="B30" s="487"/>
      <c r="C30" s="325">
        <v>2022</v>
      </c>
      <c r="D30" s="342">
        <v>622</v>
      </c>
      <c r="E30" s="372">
        <v>1423.2439999999999</v>
      </c>
      <c r="F30" s="373">
        <v>3.3370000000000002</v>
      </c>
      <c r="G30" s="341">
        <v>12.379999999999999</v>
      </c>
      <c r="H30" s="303">
        <f>SUM(I30:L30)</f>
        <v>8800</v>
      </c>
      <c r="I30" s="365"/>
      <c r="J30" s="293">
        <v>8800</v>
      </c>
      <c r="K30" s="293"/>
      <c r="L30" s="293"/>
      <c r="M30" s="293">
        <f t="shared" si="7"/>
        <v>8800</v>
      </c>
      <c r="N30" s="323" t="s">
        <v>28</v>
      </c>
      <c r="O30" s="323" t="s">
        <v>31</v>
      </c>
      <c r="P30" s="323"/>
      <c r="Q30" s="323"/>
      <c r="R30" s="422"/>
    </row>
    <row r="31" spans="1:18" s="13" customFormat="1" ht="15" customHeight="1" x14ac:dyDescent="0.2">
      <c r="A31" s="411"/>
      <c r="B31" s="487"/>
      <c r="C31" s="325" t="s">
        <v>39</v>
      </c>
      <c r="D31" s="342"/>
      <c r="E31" s="372"/>
      <c r="F31" s="373"/>
      <c r="G31" s="341"/>
      <c r="H31" s="303">
        <f>SUM(I31:L31)</f>
        <v>47061.25</v>
      </c>
      <c r="I31" s="365"/>
      <c r="J31" s="293"/>
      <c r="K31" s="293">
        <f>60522.9-13461.65</f>
        <v>47061.25</v>
      </c>
      <c r="L31" s="293"/>
      <c r="M31" s="293">
        <f t="shared" si="7"/>
        <v>47061.25</v>
      </c>
      <c r="N31" s="323"/>
      <c r="O31" s="323"/>
      <c r="P31" s="323" t="s">
        <v>28</v>
      </c>
      <c r="Q31" s="323" t="s">
        <v>54</v>
      </c>
      <c r="R31" s="422"/>
    </row>
    <row r="32" spans="1:18" s="13" customFormat="1" ht="15" customHeight="1" x14ac:dyDescent="0.2">
      <c r="A32" s="411"/>
      <c r="B32" s="487"/>
      <c r="C32" s="325" t="s">
        <v>191</v>
      </c>
      <c r="D32" s="342"/>
      <c r="E32" s="372"/>
      <c r="F32" s="373"/>
      <c r="G32" s="341"/>
      <c r="H32" s="303">
        <f>SUM(I32:L32)</f>
        <v>0</v>
      </c>
      <c r="I32" s="365"/>
      <c r="J32" s="293"/>
      <c r="K32" s="86"/>
      <c r="L32" s="293"/>
      <c r="M32" s="293">
        <f t="shared" si="7"/>
        <v>0</v>
      </c>
      <c r="N32" s="323"/>
      <c r="O32" s="323"/>
      <c r="P32" s="323"/>
      <c r="Q32" s="323"/>
      <c r="R32" s="422"/>
    </row>
    <row r="33" spans="1:18" s="13" customFormat="1" ht="15" customHeight="1" x14ac:dyDescent="0.2">
      <c r="A33" s="411"/>
      <c r="B33" s="487"/>
      <c r="C33" s="325">
        <v>2025</v>
      </c>
      <c r="D33" s="342"/>
      <c r="E33" s="342"/>
      <c r="F33" s="367"/>
      <c r="G33" s="368"/>
      <c r="H33" s="303">
        <f>SUM(I33:L33)</f>
        <v>0</v>
      </c>
      <c r="I33" s="369"/>
      <c r="J33" s="370"/>
      <c r="K33" s="294"/>
      <c r="L33" s="371"/>
      <c r="M33" s="293">
        <f t="shared" si="7"/>
        <v>0</v>
      </c>
      <c r="N33" s="342"/>
      <c r="O33" s="342"/>
      <c r="P33" s="323"/>
      <c r="Q33" s="323"/>
      <c r="R33" s="422"/>
    </row>
    <row r="34" spans="1:18" s="13" customFormat="1" ht="15" customHeight="1" x14ac:dyDescent="0.2">
      <c r="A34" s="411"/>
      <c r="B34" s="487"/>
      <c r="C34" s="325" t="s">
        <v>26</v>
      </c>
      <c r="D34" s="95">
        <f>SUM(D29:D33)</f>
        <v>622</v>
      </c>
      <c r="E34" s="95">
        <f t="shared" ref="E34:M34" si="9">SUM(E29:E33)</f>
        <v>1423.2439999999999</v>
      </c>
      <c r="F34" s="95">
        <f t="shared" si="9"/>
        <v>3.3370000000000002</v>
      </c>
      <c r="G34" s="95">
        <f t="shared" si="9"/>
        <v>12.379999999999999</v>
      </c>
      <c r="H34" s="95">
        <f t="shared" si="9"/>
        <v>55861.25</v>
      </c>
      <c r="I34" s="95">
        <f t="shared" si="9"/>
        <v>0</v>
      </c>
      <c r="J34" s="95">
        <f t="shared" si="9"/>
        <v>8800</v>
      </c>
      <c r="K34" s="95">
        <f t="shared" si="9"/>
        <v>47061.25</v>
      </c>
      <c r="L34" s="95">
        <f t="shared" si="9"/>
        <v>0</v>
      </c>
      <c r="M34" s="95">
        <f t="shared" si="9"/>
        <v>55861.25</v>
      </c>
      <c r="N34" s="323"/>
      <c r="O34" s="323"/>
      <c r="P34" s="323"/>
      <c r="Q34" s="323"/>
      <c r="R34" s="422"/>
    </row>
    <row r="35" spans="1:18" s="13" customFormat="1" ht="17.25" customHeight="1" outlineLevel="1" x14ac:dyDescent="0.2">
      <c r="A35" s="492">
        <v>4</v>
      </c>
      <c r="B35" s="495" t="s">
        <v>216</v>
      </c>
      <c r="C35" s="325">
        <v>2021</v>
      </c>
      <c r="D35" s="95"/>
      <c r="E35" s="95"/>
      <c r="F35" s="95"/>
      <c r="G35" s="95"/>
      <c r="H35" s="303">
        <f>SUM(I35:L35)</f>
        <v>0</v>
      </c>
      <c r="I35" s="95"/>
      <c r="J35" s="307"/>
      <c r="K35" s="95"/>
      <c r="L35" s="307"/>
      <c r="M35" s="293">
        <f t="shared" si="7"/>
        <v>0</v>
      </c>
      <c r="N35" s="97"/>
      <c r="O35" s="323"/>
      <c r="P35" s="323"/>
      <c r="Q35" s="366"/>
      <c r="R35" s="422"/>
    </row>
    <row r="36" spans="1:18" s="13" customFormat="1" ht="17.25" customHeight="1" outlineLevel="1" x14ac:dyDescent="0.2">
      <c r="A36" s="493"/>
      <c r="B36" s="496"/>
      <c r="C36" s="325">
        <v>2022</v>
      </c>
      <c r="D36" s="95"/>
      <c r="E36" s="95"/>
      <c r="F36" s="95"/>
      <c r="G36" s="95"/>
      <c r="H36" s="303">
        <f>SUM(I36:L36)</f>
        <v>0</v>
      </c>
      <c r="I36" s="95"/>
      <c r="J36" s="307"/>
      <c r="K36" s="307"/>
      <c r="L36" s="307"/>
      <c r="M36" s="293">
        <f t="shared" si="7"/>
        <v>0</v>
      </c>
      <c r="N36" s="323"/>
      <c r="O36" s="323"/>
      <c r="P36" s="323"/>
      <c r="Q36" s="323"/>
      <c r="R36" s="422"/>
    </row>
    <row r="37" spans="1:18" s="13" customFormat="1" ht="17.25" customHeight="1" outlineLevel="1" x14ac:dyDescent="0.2">
      <c r="A37" s="493"/>
      <c r="B37" s="496"/>
      <c r="C37" s="325" t="s">
        <v>39</v>
      </c>
      <c r="D37" s="95">
        <v>800</v>
      </c>
      <c r="E37" s="95">
        <v>2500</v>
      </c>
      <c r="F37" s="95">
        <v>4.5</v>
      </c>
      <c r="G37" s="95">
        <v>4</v>
      </c>
      <c r="H37" s="303">
        <f>SUM(I37:L37)</f>
        <v>8500</v>
      </c>
      <c r="I37" s="95"/>
      <c r="J37" s="307">
        <v>3000</v>
      </c>
      <c r="K37" s="307">
        <v>5500</v>
      </c>
      <c r="L37" s="307"/>
      <c r="M37" s="293">
        <f t="shared" si="7"/>
        <v>8500</v>
      </c>
      <c r="N37" s="323" t="s">
        <v>28</v>
      </c>
      <c r="O37" s="323" t="s">
        <v>57</v>
      </c>
      <c r="P37" s="323" t="s">
        <v>55</v>
      </c>
      <c r="Q37" s="323"/>
      <c r="R37" s="422"/>
    </row>
    <row r="38" spans="1:18" s="13" customFormat="1" ht="17.25" customHeight="1" outlineLevel="1" x14ac:dyDescent="0.2">
      <c r="A38" s="493"/>
      <c r="B38" s="496"/>
      <c r="C38" s="325" t="s">
        <v>191</v>
      </c>
      <c r="D38" s="95"/>
      <c r="E38" s="95"/>
      <c r="F38" s="95"/>
      <c r="G38" s="95"/>
      <c r="H38" s="303">
        <f>SUM(I38:L38)</f>
        <v>39000</v>
      </c>
      <c r="I38" s="95"/>
      <c r="J38" s="307"/>
      <c r="K38" s="307">
        <v>39000</v>
      </c>
      <c r="L38" s="307"/>
      <c r="M38" s="293">
        <f t="shared" si="7"/>
        <v>39000</v>
      </c>
      <c r="N38" s="323"/>
      <c r="O38" s="323"/>
      <c r="P38" s="323"/>
      <c r="Q38" s="323" t="s">
        <v>51</v>
      </c>
      <c r="R38" s="422"/>
    </row>
    <row r="39" spans="1:18" s="13" customFormat="1" ht="17.25" customHeight="1" outlineLevel="1" x14ac:dyDescent="0.2">
      <c r="A39" s="493"/>
      <c r="B39" s="496"/>
      <c r="C39" s="325">
        <v>2025</v>
      </c>
      <c r="D39" s="95">
        <v>0</v>
      </c>
      <c r="E39" s="95"/>
      <c r="F39" s="95"/>
      <c r="G39" s="95"/>
      <c r="H39" s="303">
        <f>SUM(I39:L39)</f>
        <v>0</v>
      </c>
      <c r="I39" s="95"/>
      <c r="J39" s="307"/>
      <c r="K39" s="307"/>
      <c r="L39" s="307"/>
      <c r="M39" s="293">
        <f t="shared" si="7"/>
        <v>0</v>
      </c>
      <c r="N39" s="323"/>
      <c r="O39" s="323"/>
      <c r="P39" s="323"/>
      <c r="Q39" s="323"/>
      <c r="R39" s="422"/>
    </row>
    <row r="40" spans="1:18" s="13" customFormat="1" ht="17.25" customHeight="1" outlineLevel="1" x14ac:dyDescent="0.2">
      <c r="A40" s="494"/>
      <c r="B40" s="497"/>
      <c r="C40" s="325" t="s">
        <v>26</v>
      </c>
      <c r="D40" s="95">
        <f>SUM(D35:D39)</f>
        <v>800</v>
      </c>
      <c r="E40" s="95">
        <f>SUM(E35:E39)</f>
        <v>2500</v>
      </c>
      <c r="F40" s="95">
        <f t="shared" ref="F40:L40" si="10">SUM(F35:F39)</f>
        <v>4.5</v>
      </c>
      <c r="G40" s="95">
        <f t="shared" si="10"/>
        <v>4</v>
      </c>
      <c r="H40" s="95">
        <f>SUM(H35:H39)</f>
        <v>47500</v>
      </c>
      <c r="I40" s="95">
        <f t="shared" si="10"/>
        <v>0</v>
      </c>
      <c r="J40" s="95">
        <f>SUM(J35:J39)</f>
        <v>3000</v>
      </c>
      <c r="K40" s="95">
        <f>SUM(K35:K39)</f>
        <v>44500</v>
      </c>
      <c r="L40" s="95">
        <f t="shared" si="10"/>
        <v>0</v>
      </c>
      <c r="M40" s="95">
        <f>SUM(M35:M39)</f>
        <v>47500</v>
      </c>
      <c r="N40" s="323"/>
      <c r="O40" s="323"/>
      <c r="P40" s="323"/>
      <c r="Q40" s="323"/>
      <c r="R40" s="422"/>
    </row>
    <row r="41" spans="1:18" s="13" customFormat="1" ht="18" customHeight="1" x14ac:dyDescent="0.2">
      <c r="A41" s="492">
        <v>5</v>
      </c>
      <c r="B41" s="495" t="s">
        <v>103</v>
      </c>
      <c r="C41" s="325" t="s">
        <v>25</v>
      </c>
      <c r="D41" s="95">
        <v>70</v>
      </c>
      <c r="E41" s="95">
        <v>500</v>
      </c>
      <c r="F41" s="95">
        <v>0.9</v>
      </c>
      <c r="G41" s="95">
        <v>0.5</v>
      </c>
      <c r="H41" s="303">
        <f>SUM(I41:L41)</f>
        <v>800</v>
      </c>
      <c r="I41" s="95"/>
      <c r="J41" s="307">
        <v>800</v>
      </c>
      <c r="K41" s="307">
        <v>0</v>
      </c>
      <c r="L41" s="307"/>
      <c r="M41" s="293">
        <f t="shared" si="7"/>
        <v>800</v>
      </c>
      <c r="N41" s="323" t="s">
        <v>52</v>
      </c>
      <c r="O41" s="323" t="s">
        <v>31</v>
      </c>
      <c r="P41" s="323"/>
      <c r="Q41" s="323"/>
      <c r="R41" s="422"/>
    </row>
    <row r="42" spans="1:18" s="13" customFormat="1" ht="15.75" customHeight="1" x14ac:dyDescent="0.2">
      <c r="A42" s="493"/>
      <c r="B42" s="496"/>
      <c r="C42" s="325">
        <v>2022</v>
      </c>
      <c r="D42" s="95"/>
      <c r="E42" s="95"/>
      <c r="F42" s="95"/>
      <c r="G42" s="95"/>
      <c r="H42" s="303">
        <f>SUM(I42:L42)</f>
        <v>1650</v>
      </c>
      <c r="I42" s="95"/>
      <c r="J42" s="307"/>
      <c r="K42" s="307">
        <v>1650</v>
      </c>
      <c r="L42" s="307"/>
      <c r="M42" s="293">
        <f t="shared" si="7"/>
        <v>1650</v>
      </c>
      <c r="N42" s="323"/>
      <c r="O42" s="323"/>
      <c r="P42" s="323" t="s">
        <v>28</v>
      </c>
      <c r="Q42" s="323" t="s">
        <v>54</v>
      </c>
      <c r="R42" s="422"/>
    </row>
    <row r="43" spans="1:18" s="13" customFormat="1" ht="15.75" customHeight="1" x14ac:dyDescent="0.2">
      <c r="A43" s="493"/>
      <c r="B43" s="496"/>
      <c r="C43" s="325" t="s">
        <v>39</v>
      </c>
      <c r="D43" s="95"/>
      <c r="E43" s="95"/>
      <c r="F43" s="95"/>
      <c r="G43" s="95"/>
      <c r="H43" s="303">
        <f>SUM(I43:L43)</f>
        <v>0</v>
      </c>
      <c r="I43" s="95"/>
      <c r="J43" s="307"/>
      <c r="K43" s="307"/>
      <c r="L43" s="307"/>
      <c r="M43" s="293">
        <f t="shared" si="7"/>
        <v>0</v>
      </c>
      <c r="N43" s="323"/>
      <c r="O43" s="323"/>
      <c r="P43" s="323"/>
      <c r="Q43" s="323"/>
      <c r="R43" s="422"/>
    </row>
    <row r="44" spans="1:18" s="13" customFormat="1" ht="15.75" customHeight="1" x14ac:dyDescent="0.2">
      <c r="A44" s="493"/>
      <c r="B44" s="496"/>
      <c r="C44" s="325" t="s">
        <v>191</v>
      </c>
      <c r="D44" s="95"/>
      <c r="E44" s="95"/>
      <c r="F44" s="95"/>
      <c r="G44" s="95"/>
      <c r="H44" s="303">
        <f>SUM(I44:L44)</f>
        <v>0</v>
      </c>
      <c r="I44" s="95"/>
      <c r="J44" s="307"/>
      <c r="K44" s="307"/>
      <c r="L44" s="307"/>
      <c r="M44" s="293">
        <f t="shared" si="7"/>
        <v>0</v>
      </c>
      <c r="N44" s="323"/>
      <c r="O44" s="323"/>
      <c r="P44" s="323"/>
      <c r="Q44" s="323"/>
      <c r="R44" s="422"/>
    </row>
    <row r="45" spans="1:18" s="13" customFormat="1" ht="15.75" customHeight="1" x14ac:dyDescent="0.2">
      <c r="A45" s="493"/>
      <c r="B45" s="496"/>
      <c r="C45" s="325">
        <v>2025</v>
      </c>
      <c r="D45" s="95"/>
      <c r="E45" s="95"/>
      <c r="F45" s="95"/>
      <c r="G45" s="95"/>
      <c r="H45" s="303">
        <f>SUM(I45:L45)</f>
        <v>0</v>
      </c>
      <c r="I45" s="95"/>
      <c r="J45" s="307"/>
      <c r="K45" s="307"/>
      <c r="L45" s="307"/>
      <c r="M45" s="293">
        <f t="shared" si="7"/>
        <v>0</v>
      </c>
      <c r="N45" s="323"/>
      <c r="O45" s="323"/>
      <c r="P45" s="323"/>
      <c r="Q45" s="323"/>
      <c r="R45" s="422"/>
    </row>
    <row r="46" spans="1:18" s="13" customFormat="1" ht="18.75" customHeight="1" x14ac:dyDescent="0.2">
      <c r="A46" s="494"/>
      <c r="B46" s="497"/>
      <c r="C46" s="325" t="s">
        <v>26</v>
      </c>
      <c r="D46" s="95">
        <f>SUM(D41:D45)</f>
        <v>70</v>
      </c>
      <c r="E46" s="95">
        <f t="shared" ref="E46:L46" si="11">SUM(E41:E45)</f>
        <v>500</v>
      </c>
      <c r="F46" s="95">
        <f t="shared" si="11"/>
        <v>0.9</v>
      </c>
      <c r="G46" s="95">
        <f t="shared" si="11"/>
        <v>0.5</v>
      </c>
      <c r="H46" s="95">
        <f t="shared" si="11"/>
        <v>2450</v>
      </c>
      <c r="I46" s="95">
        <f t="shared" si="11"/>
        <v>0</v>
      </c>
      <c r="J46" s="95">
        <f t="shared" si="11"/>
        <v>800</v>
      </c>
      <c r="K46" s="95">
        <f t="shared" si="11"/>
        <v>1650</v>
      </c>
      <c r="L46" s="95">
        <f t="shared" si="11"/>
        <v>0</v>
      </c>
      <c r="M46" s="86">
        <f t="shared" si="7"/>
        <v>2450</v>
      </c>
      <c r="N46" s="323"/>
      <c r="O46" s="323"/>
      <c r="P46" s="323"/>
      <c r="Q46" s="323"/>
      <c r="R46" s="422"/>
    </row>
    <row r="47" spans="1:18" s="13" customFormat="1" ht="15.75" customHeight="1" x14ac:dyDescent="0.2">
      <c r="A47" s="492">
        <v>6</v>
      </c>
      <c r="B47" s="495" t="s">
        <v>218</v>
      </c>
      <c r="C47" s="325" t="s">
        <v>25</v>
      </c>
      <c r="D47" s="95">
        <v>80</v>
      </c>
      <c r="E47" s="95">
        <v>600</v>
      </c>
      <c r="F47" s="95">
        <v>0.2</v>
      </c>
      <c r="G47" s="95">
        <v>4</v>
      </c>
      <c r="H47" s="303">
        <f>SUM(I47:L47)</f>
        <v>4000</v>
      </c>
      <c r="I47" s="95"/>
      <c r="J47" s="307">
        <v>3000</v>
      </c>
      <c r="K47" s="307">
        <v>1000</v>
      </c>
      <c r="L47" s="307"/>
      <c r="M47" s="293">
        <f t="shared" ref="M47:M52" si="12">J47+K47+L47</f>
        <v>4000</v>
      </c>
      <c r="N47" s="323" t="s">
        <v>52</v>
      </c>
      <c r="O47" s="323" t="s">
        <v>57</v>
      </c>
      <c r="P47" s="323" t="s">
        <v>55</v>
      </c>
      <c r="Q47" s="323"/>
      <c r="R47" s="422"/>
    </row>
    <row r="48" spans="1:18" s="13" customFormat="1" ht="15.75" customHeight="1" x14ac:dyDescent="0.2">
      <c r="A48" s="493"/>
      <c r="B48" s="496"/>
      <c r="C48" s="325">
        <v>2022</v>
      </c>
      <c r="D48" s="95"/>
      <c r="E48" s="95"/>
      <c r="F48" s="95"/>
      <c r="G48" s="95"/>
      <c r="H48" s="303">
        <f>SUM(I48:L48)</f>
        <v>22000</v>
      </c>
      <c r="I48" s="95"/>
      <c r="J48" s="307"/>
      <c r="K48" s="307">
        <v>22000</v>
      </c>
      <c r="L48" s="307"/>
      <c r="M48" s="293">
        <f t="shared" si="12"/>
        <v>22000</v>
      </c>
      <c r="N48" s="323"/>
      <c r="O48" s="323"/>
      <c r="P48" s="323"/>
      <c r="Q48" s="323" t="s">
        <v>48</v>
      </c>
      <c r="R48" s="422"/>
    </row>
    <row r="49" spans="1:18" s="13" customFormat="1" ht="15.75" customHeight="1" x14ac:dyDescent="0.2">
      <c r="A49" s="493"/>
      <c r="B49" s="496"/>
      <c r="C49" s="325" t="s">
        <v>39</v>
      </c>
      <c r="D49" s="95"/>
      <c r="E49" s="95"/>
      <c r="F49" s="95"/>
      <c r="G49" s="95"/>
      <c r="H49" s="303">
        <f>SUM(I49:L49)</f>
        <v>0</v>
      </c>
      <c r="I49" s="95"/>
      <c r="J49" s="307"/>
      <c r="K49" s="307"/>
      <c r="L49" s="307"/>
      <c r="M49" s="293">
        <f t="shared" si="12"/>
        <v>0</v>
      </c>
      <c r="N49" s="323"/>
      <c r="O49" s="323"/>
      <c r="P49" s="323"/>
      <c r="Q49" s="323"/>
      <c r="R49" s="422"/>
    </row>
    <row r="50" spans="1:18" s="13" customFormat="1" ht="15.75" customHeight="1" x14ac:dyDescent="0.2">
      <c r="A50" s="493"/>
      <c r="B50" s="496"/>
      <c r="C50" s="325" t="s">
        <v>191</v>
      </c>
      <c r="D50" s="95"/>
      <c r="E50" s="95"/>
      <c r="F50" s="95"/>
      <c r="G50" s="95"/>
      <c r="H50" s="303">
        <f>SUM(I50:L50)</f>
        <v>0</v>
      </c>
      <c r="I50" s="95"/>
      <c r="J50" s="307"/>
      <c r="K50" s="307">
        <v>0</v>
      </c>
      <c r="L50" s="307"/>
      <c r="M50" s="293">
        <f t="shared" si="12"/>
        <v>0</v>
      </c>
      <c r="N50" s="323"/>
      <c r="O50" s="323"/>
      <c r="P50" s="323"/>
      <c r="Q50" s="323"/>
      <c r="R50" s="422"/>
    </row>
    <row r="51" spans="1:18" s="13" customFormat="1" ht="15.75" customHeight="1" x14ac:dyDescent="0.2">
      <c r="A51" s="493"/>
      <c r="B51" s="496"/>
      <c r="C51" s="325">
        <v>2025</v>
      </c>
      <c r="D51" s="95"/>
      <c r="E51" s="95"/>
      <c r="F51" s="95"/>
      <c r="G51" s="95"/>
      <c r="H51" s="303">
        <f>SUM(I51:L51)</f>
        <v>0</v>
      </c>
      <c r="I51" s="95"/>
      <c r="J51" s="307"/>
      <c r="K51" s="307"/>
      <c r="L51" s="307"/>
      <c r="M51" s="293">
        <f t="shared" si="12"/>
        <v>0</v>
      </c>
      <c r="N51" s="323"/>
      <c r="O51" s="323"/>
      <c r="P51" s="323"/>
      <c r="Q51" s="323"/>
      <c r="R51" s="422"/>
    </row>
    <row r="52" spans="1:18" s="13" customFormat="1" ht="18.75" customHeight="1" x14ac:dyDescent="0.2">
      <c r="A52" s="494"/>
      <c r="B52" s="497"/>
      <c r="C52" s="325" t="s">
        <v>26</v>
      </c>
      <c r="D52" s="95">
        <f>SUM(D47:D51)</f>
        <v>80</v>
      </c>
      <c r="E52" s="95">
        <f t="shared" ref="E52:L52" si="13">SUM(E47:E51)</f>
        <v>600</v>
      </c>
      <c r="F52" s="95">
        <f t="shared" si="13"/>
        <v>0.2</v>
      </c>
      <c r="G52" s="95">
        <f t="shared" si="13"/>
        <v>4</v>
      </c>
      <c r="H52" s="95">
        <f t="shared" si="13"/>
        <v>26000</v>
      </c>
      <c r="I52" s="95">
        <f t="shared" si="13"/>
        <v>0</v>
      </c>
      <c r="J52" s="95">
        <f t="shared" si="13"/>
        <v>3000</v>
      </c>
      <c r="K52" s="95">
        <f t="shared" si="13"/>
        <v>23000</v>
      </c>
      <c r="L52" s="95">
        <f t="shared" si="13"/>
        <v>0</v>
      </c>
      <c r="M52" s="86">
        <f t="shared" si="12"/>
        <v>26000</v>
      </c>
      <c r="N52" s="323"/>
      <c r="O52" s="323"/>
      <c r="P52" s="323"/>
      <c r="Q52" s="323"/>
      <c r="R52" s="422"/>
    </row>
    <row r="53" spans="1:18" s="13" customFormat="1" ht="15.75" customHeight="1" x14ac:dyDescent="0.2">
      <c r="A53" s="492">
        <v>7</v>
      </c>
      <c r="B53" s="495" t="s">
        <v>220</v>
      </c>
      <c r="C53" s="325" t="s">
        <v>25</v>
      </c>
      <c r="D53" s="95"/>
      <c r="E53" s="95"/>
      <c r="F53" s="95"/>
      <c r="G53" s="95"/>
      <c r="H53" s="303">
        <f>SUM(I53:L53)</f>
        <v>0</v>
      </c>
      <c r="I53" s="95"/>
      <c r="J53" s="307"/>
      <c r="K53" s="307"/>
      <c r="L53" s="307"/>
      <c r="M53" s="293">
        <f t="shared" ref="M53:M58" si="14">J53+K53+L53</f>
        <v>0</v>
      </c>
      <c r="N53" s="323"/>
      <c r="O53" s="323"/>
      <c r="P53" s="323"/>
      <c r="Q53" s="323"/>
      <c r="R53" s="422"/>
    </row>
    <row r="54" spans="1:18" s="13" customFormat="1" ht="15.75" customHeight="1" x14ac:dyDescent="0.2">
      <c r="A54" s="493"/>
      <c r="B54" s="496"/>
      <c r="C54" s="325">
        <v>2022</v>
      </c>
      <c r="D54" s="95"/>
      <c r="E54" s="95"/>
      <c r="F54" s="95"/>
      <c r="G54" s="95"/>
      <c r="H54" s="303">
        <f>SUM(I54:L54)</f>
        <v>0</v>
      </c>
      <c r="I54" s="95"/>
      <c r="J54" s="307"/>
      <c r="K54" s="307"/>
      <c r="L54" s="307"/>
      <c r="M54" s="293">
        <f t="shared" si="14"/>
        <v>0</v>
      </c>
      <c r="N54" s="323"/>
      <c r="O54" s="323"/>
      <c r="P54" s="323"/>
      <c r="Q54" s="323"/>
      <c r="R54" s="422"/>
    </row>
    <row r="55" spans="1:18" s="13" customFormat="1" ht="15.75" customHeight="1" x14ac:dyDescent="0.2">
      <c r="A55" s="493"/>
      <c r="B55" s="496"/>
      <c r="C55" s="325" t="s">
        <v>39</v>
      </c>
      <c r="D55" s="95"/>
      <c r="E55" s="95"/>
      <c r="F55" s="95"/>
      <c r="G55" s="95"/>
      <c r="H55" s="303">
        <f>SUM(I55:L55)</f>
        <v>0</v>
      </c>
      <c r="I55" s="95"/>
      <c r="J55" s="307">
        <v>0</v>
      </c>
      <c r="K55" s="307"/>
      <c r="L55" s="307"/>
      <c r="M55" s="293">
        <f t="shared" si="14"/>
        <v>0</v>
      </c>
      <c r="N55" s="323"/>
      <c r="O55" s="323"/>
      <c r="P55" s="323"/>
      <c r="Q55" s="323"/>
      <c r="R55" s="422"/>
    </row>
    <row r="56" spans="1:18" s="13" customFormat="1" ht="15.75" customHeight="1" x14ac:dyDescent="0.2">
      <c r="A56" s="493"/>
      <c r="B56" s="496"/>
      <c r="C56" s="325" t="s">
        <v>191</v>
      </c>
      <c r="D56" s="95">
        <v>120</v>
      </c>
      <c r="E56" s="95">
        <v>5000</v>
      </c>
      <c r="F56" s="95">
        <v>2.5</v>
      </c>
      <c r="G56" s="95">
        <v>5.5</v>
      </c>
      <c r="H56" s="303">
        <f>SUM(I56:L56)</f>
        <v>12000</v>
      </c>
      <c r="I56" s="95"/>
      <c r="J56" s="307">
        <v>6000</v>
      </c>
      <c r="K56" s="307">
        <v>6000</v>
      </c>
      <c r="L56" s="307"/>
      <c r="M56" s="293">
        <f t="shared" si="14"/>
        <v>12000</v>
      </c>
      <c r="N56" s="323" t="s">
        <v>28</v>
      </c>
      <c r="O56" s="323" t="s">
        <v>57</v>
      </c>
      <c r="P56" s="323" t="s">
        <v>55</v>
      </c>
      <c r="Q56" s="323"/>
      <c r="R56" s="422"/>
    </row>
    <row r="57" spans="1:18" s="13" customFormat="1" ht="15.75" customHeight="1" x14ac:dyDescent="0.2">
      <c r="A57" s="493"/>
      <c r="B57" s="496"/>
      <c r="C57" s="325">
        <v>2025</v>
      </c>
      <c r="D57" s="95"/>
      <c r="E57" s="95"/>
      <c r="F57" s="95"/>
      <c r="G57" s="95"/>
      <c r="H57" s="303">
        <f>SUM(I57:L57)</f>
        <v>39461.15</v>
      </c>
      <c r="I57" s="95"/>
      <c r="J57" s="307"/>
      <c r="K57" s="307">
        <f>40261.15-800</f>
        <v>39461.15</v>
      </c>
      <c r="L57" s="307"/>
      <c r="M57" s="293">
        <f t="shared" si="14"/>
        <v>39461.15</v>
      </c>
      <c r="N57" s="323"/>
      <c r="O57" s="323"/>
      <c r="P57" s="323"/>
      <c r="Q57" s="323" t="s">
        <v>49</v>
      </c>
      <c r="R57" s="422"/>
    </row>
    <row r="58" spans="1:18" s="13" customFormat="1" ht="18.75" customHeight="1" x14ac:dyDescent="0.2">
      <c r="A58" s="494"/>
      <c r="B58" s="497"/>
      <c r="C58" s="325" t="s">
        <v>26</v>
      </c>
      <c r="D58" s="95">
        <f>SUM(D53:D57)</f>
        <v>120</v>
      </c>
      <c r="E58" s="95">
        <f t="shared" ref="E58:L58" si="15">SUM(E53:E57)</f>
        <v>5000</v>
      </c>
      <c r="F58" s="95">
        <f t="shared" si="15"/>
        <v>2.5</v>
      </c>
      <c r="G58" s="95">
        <f t="shared" si="15"/>
        <v>5.5</v>
      </c>
      <c r="H58" s="95">
        <f t="shared" si="15"/>
        <v>51461.15</v>
      </c>
      <c r="I58" s="95">
        <f t="shared" si="15"/>
        <v>0</v>
      </c>
      <c r="J58" s="95">
        <f>SUM(J53:J57)</f>
        <v>6000</v>
      </c>
      <c r="K58" s="95">
        <f t="shared" si="15"/>
        <v>45461.15</v>
      </c>
      <c r="L58" s="95">
        <f t="shared" si="15"/>
        <v>0</v>
      </c>
      <c r="M58" s="86">
        <f t="shared" si="14"/>
        <v>51461.15</v>
      </c>
      <c r="N58" s="323"/>
      <c r="O58" s="323"/>
      <c r="P58" s="323"/>
      <c r="Q58" s="323"/>
      <c r="R58" s="422"/>
    </row>
    <row r="59" spans="1:18" ht="15" customHeight="1" x14ac:dyDescent="0.2">
      <c r="A59" s="502" t="s">
        <v>29</v>
      </c>
      <c r="B59" s="502"/>
      <c r="C59" s="350" t="s">
        <v>25</v>
      </c>
      <c r="D59" s="90">
        <f>D23+D29+D35+D41+D47+D17+D53</f>
        <v>2612</v>
      </c>
      <c r="E59" s="90">
        <f t="shared" ref="E59:L59" si="16">E23+E29+E35+E41+E47+E17+E53</f>
        <v>3207.44</v>
      </c>
      <c r="F59" s="90">
        <f t="shared" si="16"/>
        <v>6.2020000000000008</v>
      </c>
      <c r="G59" s="90">
        <f t="shared" si="16"/>
        <v>10.059999999999999</v>
      </c>
      <c r="H59" s="90">
        <f t="shared" si="16"/>
        <v>89825.455000000002</v>
      </c>
      <c r="I59" s="90">
        <f t="shared" si="16"/>
        <v>81835.375</v>
      </c>
      <c r="J59" s="90">
        <f t="shared" si="16"/>
        <v>3800</v>
      </c>
      <c r="K59" s="90">
        <f t="shared" si="16"/>
        <v>4190.08</v>
      </c>
      <c r="L59" s="90">
        <f t="shared" si="16"/>
        <v>0</v>
      </c>
      <c r="M59" s="293">
        <f>J59+K59+L59</f>
        <v>7990.08</v>
      </c>
      <c r="N59" s="97"/>
      <c r="O59" s="97"/>
      <c r="P59" s="97"/>
      <c r="Q59" s="97"/>
      <c r="R59" s="466"/>
    </row>
    <row r="60" spans="1:18" ht="15" customHeight="1" x14ac:dyDescent="0.2">
      <c r="A60" s="502"/>
      <c r="B60" s="502"/>
      <c r="C60" s="350">
        <v>2022</v>
      </c>
      <c r="D60" s="90">
        <f t="shared" ref="D60:L60" si="17">D24+D30+D36+D42+D48+D18+D54</f>
        <v>622</v>
      </c>
      <c r="E60" s="90">
        <f t="shared" si="17"/>
        <v>1423.2439999999999</v>
      </c>
      <c r="F60" s="90">
        <f t="shared" si="17"/>
        <v>3.3370000000000002</v>
      </c>
      <c r="G60" s="90">
        <f t="shared" si="17"/>
        <v>12.379999999999999</v>
      </c>
      <c r="H60" s="90">
        <f t="shared" si="17"/>
        <v>32450</v>
      </c>
      <c r="I60" s="90">
        <f t="shared" si="17"/>
        <v>0</v>
      </c>
      <c r="J60" s="90">
        <f t="shared" si="17"/>
        <v>8800</v>
      </c>
      <c r="K60" s="90">
        <f t="shared" si="17"/>
        <v>23650</v>
      </c>
      <c r="L60" s="90">
        <f t="shared" si="17"/>
        <v>0</v>
      </c>
      <c r="M60" s="293">
        <f t="shared" ref="M60:M63" si="18">J60+K60+L60</f>
        <v>32450</v>
      </c>
      <c r="N60" s="97"/>
      <c r="O60" s="97"/>
      <c r="P60" s="97"/>
      <c r="Q60" s="97"/>
      <c r="R60" s="466"/>
    </row>
    <row r="61" spans="1:18" ht="15" customHeight="1" x14ac:dyDescent="0.2">
      <c r="A61" s="502"/>
      <c r="B61" s="502"/>
      <c r="C61" s="350" t="s">
        <v>39</v>
      </c>
      <c r="D61" s="90">
        <f t="shared" ref="D61:L61" si="19">D25+D31+D37+D43+D49+D19+D55</f>
        <v>800</v>
      </c>
      <c r="E61" s="90">
        <f t="shared" si="19"/>
        <v>2500</v>
      </c>
      <c r="F61" s="90">
        <f t="shared" si="19"/>
        <v>4.5</v>
      </c>
      <c r="G61" s="90">
        <f t="shared" si="19"/>
        <v>4</v>
      </c>
      <c r="H61" s="90">
        <f t="shared" si="19"/>
        <v>55561.25</v>
      </c>
      <c r="I61" s="90">
        <f t="shared" si="19"/>
        <v>0</v>
      </c>
      <c r="J61" s="90">
        <f t="shared" si="19"/>
        <v>3000</v>
      </c>
      <c r="K61" s="90">
        <f t="shared" si="19"/>
        <v>52561.25</v>
      </c>
      <c r="L61" s="90">
        <f t="shared" si="19"/>
        <v>0</v>
      </c>
      <c r="M61" s="293">
        <f t="shared" si="18"/>
        <v>55561.25</v>
      </c>
      <c r="N61" s="97"/>
      <c r="O61" s="97"/>
      <c r="P61" s="97"/>
      <c r="Q61" s="97"/>
      <c r="R61" s="466"/>
    </row>
    <row r="62" spans="1:18" ht="15" customHeight="1" x14ac:dyDescent="0.2">
      <c r="A62" s="502"/>
      <c r="B62" s="502"/>
      <c r="C62" s="350" t="s">
        <v>191</v>
      </c>
      <c r="D62" s="90">
        <f t="shared" ref="D62:L62" si="20">D26+D32+D38+D44+D50+D20+D56</f>
        <v>121</v>
      </c>
      <c r="E62" s="90">
        <f t="shared" si="20"/>
        <v>5080</v>
      </c>
      <c r="F62" s="90">
        <f t="shared" si="20"/>
        <v>2.6</v>
      </c>
      <c r="G62" s="90">
        <f t="shared" si="20"/>
        <v>7.05</v>
      </c>
      <c r="H62" s="90">
        <f t="shared" si="20"/>
        <v>54536</v>
      </c>
      <c r="I62" s="90">
        <f t="shared" si="20"/>
        <v>0</v>
      </c>
      <c r="J62" s="90">
        <f>J26+J32+J38+J44+J50+J20+J56</f>
        <v>8036</v>
      </c>
      <c r="K62" s="90">
        <f>K26+K32+K38+K44+K50+K20+K56</f>
        <v>46500</v>
      </c>
      <c r="L62" s="90">
        <f t="shared" si="20"/>
        <v>0</v>
      </c>
      <c r="M62" s="293">
        <f t="shared" si="18"/>
        <v>54536</v>
      </c>
      <c r="N62" s="97"/>
      <c r="O62" s="97"/>
      <c r="P62" s="97"/>
      <c r="Q62" s="97"/>
      <c r="R62" s="466"/>
    </row>
    <row r="63" spans="1:18" ht="15" customHeight="1" x14ac:dyDescent="0.2">
      <c r="A63" s="502"/>
      <c r="B63" s="502"/>
      <c r="C63" s="350">
        <v>2025</v>
      </c>
      <c r="D63" s="90">
        <f t="shared" ref="D63:L63" si="21">D27+D33+D39+D45+D51+D21+D57</f>
        <v>0</v>
      </c>
      <c r="E63" s="90">
        <f t="shared" si="21"/>
        <v>0</v>
      </c>
      <c r="F63" s="90">
        <f t="shared" si="21"/>
        <v>0</v>
      </c>
      <c r="G63" s="90">
        <f t="shared" si="21"/>
        <v>0</v>
      </c>
      <c r="H63" s="90">
        <f t="shared" si="21"/>
        <v>42261.15</v>
      </c>
      <c r="I63" s="90">
        <f t="shared" si="21"/>
        <v>0</v>
      </c>
      <c r="J63" s="90">
        <f t="shared" si="21"/>
        <v>0</v>
      </c>
      <c r="K63" s="90">
        <f t="shared" si="21"/>
        <v>42261.15</v>
      </c>
      <c r="L63" s="90">
        <f t="shared" si="21"/>
        <v>0</v>
      </c>
      <c r="M63" s="293">
        <f t="shared" si="18"/>
        <v>42261.15</v>
      </c>
      <c r="N63" s="97"/>
      <c r="O63" s="97"/>
      <c r="P63" s="97"/>
      <c r="Q63" s="97"/>
      <c r="R63" s="466"/>
    </row>
    <row r="64" spans="1:18" ht="18" customHeight="1" x14ac:dyDescent="0.2">
      <c r="A64" s="502"/>
      <c r="B64" s="502"/>
      <c r="C64" s="350" t="s">
        <v>12</v>
      </c>
      <c r="D64" s="90">
        <f>SUM(D59:D63)</f>
        <v>4155</v>
      </c>
      <c r="E64" s="90">
        <f>SUM(E59:E63)</f>
        <v>12210.684000000001</v>
      </c>
      <c r="F64" s="90">
        <f t="shared" ref="F64:L64" si="22">SUM(F59:F63)</f>
        <v>16.639000000000003</v>
      </c>
      <c r="G64" s="90">
        <f t="shared" si="22"/>
        <v>33.489999999999995</v>
      </c>
      <c r="H64" s="90">
        <f t="shared" si="22"/>
        <v>274633.85500000004</v>
      </c>
      <c r="I64" s="90">
        <f t="shared" si="22"/>
        <v>81835.375</v>
      </c>
      <c r="J64" s="90">
        <f>SUM(J59:J63)</f>
        <v>23636</v>
      </c>
      <c r="K64" s="90">
        <f>SUM(K59:K63)</f>
        <v>169162.48</v>
      </c>
      <c r="L64" s="90">
        <f t="shared" si="22"/>
        <v>0</v>
      </c>
      <c r="M64" s="90">
        <f>SUM(M59:M63)</f>
        <v>192798.48</v>
      </c>
      <c r="N64" s="97"/>
      <c r="O64" s="97"/>
      <c r="P64" s="97"/>
      <c r="Q64" s="97"/>
      <c r="R64" s="466"/>
    </row>
    <row r="65" spans="1:18" ht="20.25" customHeight="1" x14ac:dyDescent="0.2">
      <c r="A65" s="473" t="s">
        <v>6</v>
      </c>
      <c r="B65" s="474"/>
      <c r="C65" s="7"/>
      <c r="D65" s="10"/>
      <c r="E65" s="346"/>
      <c r="F65" s="10"/>
      <c r="G65" s="10"/>
      <c r="H65" s="7"/>
      <c r="I65" s="7"/>
      <c r="J65" s="17"/>
      <c r="K65" s="17"/>
      <c r="L65" s="17"/>
      <c r="M65" s="17"/>
      <c r="N65" s="7"/>
      <c r="O65" s="7"/>
      <c r="P65" s="7"/>
      <c r="Q65" s="7"/>
    </row>
    <row r="66" spans="1:18" ht="15.75" customHeight="1" x14ac:dyDescent="0.2">
      <c r="A66" s="464">
        <v>8</v>
      </c>
      <c r="B66" s="465" t="s">
        <v>58</v>
      </c>
      <c r="C66" s="350">
        <v>2021</v>
      </c>
      <c r="D66" s="346">
        <v>386</v>
      </c>
      <c r="E66" s="355">
        <v>917.08</v>
      </c>
      <c r="F66" s="355">
        <v>2.12</v>
      </c>
      <c r="G66" s="92">
        <v>20.329999999999998</v>
      </c>
      <c r="H66" s="305">
        <f>SUM(I66:L66)</f>
        <v>208837.75</v>
      </c>
      <c r="I66" s="308">
        <v>50416.601000000002</v>
      </c>
      <c r="J66" s="92"/>
      <c r="K66" s="92">
        <f>208837.75-I66</f>
        <v>158421.149</v>
      </c>
      <c r="L66" s="94"/>
      <c r="M66" s="92">
        <f t="shared" ref="M66:M77" si="23">J66+K66+L66</f>
        <v>158421.149</v>
      </c>
      <c r="N66" s="359">
        <v>43586</v>
      </c>
      <c r="O66" s="359">
        <v>43770</v>
      </c>
      <c r="P66" s="359">
        <v>44166</v>
      </c>
      <c r="Q66" s="97" t="s">
        <v>53</v>
      </c>
      <c r="R66" s="466"/>
    </row>
    <row r="67" spans="1:18" ht="15.75" customHeight="1" x14ac:dyDescent="0.2">
      <c r="A67" s="464"/>
      <c r="B67" s="465"/>
      <c r="C67" s="350">
        <v>2022</v>
      </c>
      <c r="D67" s="346"/>
      <c r="E67" s="346"/>
      <c r="F67" s="346"/>
      <c r="G67" s="92"/>
      <c r="H67" s="305">
        <f>SUM(I67:L67)</f>
        <v>0</v>
      </c>
      <c r="I67" s="308"/>
      <c r="J67" s="92"/>
      <c r="K67" s="92"/>
      <c r="L67" s="94"/>
      <c r="M67" s="94">
        <f t="shared" si="23"/>
        <v>0</v>
      </c>
      <c r="N67" s="97"/>
      <c r="O67" s="97"/>
      <c r="P67" s="97"/>
      <c r="Q67" s="97"/>
      <c r="R67" s="466"/>
    </row>
    <row r="68" spans="1:18" ht="15.75" customHeight="1" x14ac:dyDescent="0.2">
      <c r="A68" s="464"/>
      <c r="B68" s="465"/>
      <c r="C68" s="350" t="s">
        <v>39</v>
      </c>
      <c r="D68" s="346"/>
      <c r="E68" s="346"/>
      <c r="F68" s="346"/>
      <c r="G68" s="92"/>
      <c r="H68" s="305">
        <f>SUM(I68:L68)</f>
        <v>0</v>
      </c>
      <c r="I68" s="308"/>
      <c r="J68" s="94"/>
      <c r="K68" s="94"/>
      <c r="L68" s="94"/>
      <c r="M68" s="94">
        <f t="shared" si="23"/>
        <v>0</v>
      </c>
      <c r="N68" s="97"/>
      <c r="O68" s="97"/>
      <c r="P68" s="97"/>
      <c r="Q68" s="97"/>
      <c r="R68" s="466"/>
    </row>
    <row r="69" spans="1:18" ht="15.75" customHeight="1" x14ac:dyDescent="0.2">
      <c r="A69" s="464"/>
      <c r="B69" s="465"/>
      <c r="C69" s="350" t="s">
        <v>191</v>
      </c>
      <c r="D69" s="346"/>
      <c r="E69" s="346"/>
      <c r="F69" s="346"/>
      <c r="G69" s="92"/>
      <c r="H69" s="305">
        <f>SUM(I69:L69)</f>
        <v>0</v>
      </c>
      <c r="I69" s="308"/>
      <c r="J69" s="94"/>
      <c r="K69" s="94"/>
      <c r="L69" s="94"/>
      <c r="M69" s="94">
        <f t="shared" si="23"/>
        <v>0</v>
      </c>
      <c r="N69" s="97"/>
      <c r="O69" s="97"/>
      <c r="P69" s="97"/>
      <c r="Q69" s="97"/>
      <c r="R69" s="466"/>
    </row>
    <row r="70" spans="1:18" ht="15.75" customHeight="1" x14ac:dyDescent="0.2">
      <c r="A70" s="464"/>
      <c r="B70" s="465"/>
      <c r="C70" s="350">
        <v>2025</v>
      </c>
      <c r="D70" s="346"/>
      <c r="E70" s="346"/>
      <c r="F70" s="346"/>
      <c r="G70" s="92"/>
      <c r="H70" s="305">
        <f>SUM(I70:L70)</f>
        <v>0</v>
      </c>
      <c r="I70" s="308"/>
      <c r="J70" s="94"/>
      <c r="K70" s="94"/>
      <c r="L70" s="94"/>
      <c r="M70" s="94">
        <f t="shared" si="23"/>
        <v>0</v>
      </c>
      <c r="N70" s="97"/>
      <c r="O70" s="97"/>
      <c r="P70" s="97"/>
      <c r="Q70" s="97"/>
      <c r="R70" s="466"/>
    </row>
    <row r="71" spans="1:18" ht="15.75" customHeight="1" x14ac:dyDescent="0.2">
      <c r="A71" s="464"/>
      <c r="B71" s="465"/>
      <c r="C71" s="350" t="s">
        <v>26</v>
      </c>
      <c r="D71" s="302">
        <f>SUM(D66:D70)</f>
        <v>386</v>
      </c>
      <c r="E71" s="302">
        <f t="shared" ref="E71:L71" si="24">SUM(E66:E70)</f>
        <v>917.08</v>
      </c>
      <c r="F71" s="302">
        <f t="shared" si="24"/>
        <v>2.12</v>
      </c>
      <c r="G71" s="302">
        <f t="shared" si="24"/>
        <v>20.329999999999998</v>
      </c>
      <c r="H71" s="101">
        <f>SUM(H66:H70)</f>
        <v>208837.75</v>
      </c>
      <c r="I71" s="101">
        <f t="shared" si="24"/>
        <v>50416.601000000002</v>
      </c>
      <c r="J71" s="101">
        <f>SUM(J66:J70)</f>
        <v>0</v>
      </c>
      <c r="K71" s="101">
        <f t="shared" si="24"/>
        <v>158421.149</v>
      </c>
      <c r="L71" s="101">
        <f t="shared" si="24"/>
        <v>0</v>
      </c>
      <c r="M71" s="94">
        <f>J71+K71+L71</f>
        <v>158421.149</v>
      </c>
      <c r="N71" s="97"/>
      <c r="O71" s="97"/>
      <c r="P71" s="97"/>
      <c r="Q71" s="97"/>
      <c r="R71" s="466"/>
    </row>
    <row r="72" spans="1:18" ht="15.75" customHeight="1" x14ac:dyDescent="0.2">
      <c r="A72" s="464">
        <v>9</v>
      </c>
      <c r="B72" s="465" t="s">
        <v>96</v>
      </c>
      <c r="C72" s="350">
        <v>2021</v>
      </c>
      <c r="D72" s="346">
        <v>359</v>
      </c>
      <c r="E72" s="355">
        <v>1053.5</v>
      </c>
      <c r="F72" s="355">
        <v>2.35</v>
      </c>
      <c r="G72" s="92">
        <v>11.015000000000001</v>
      </c>
      <c r="H72" s="305">
        <f>SUM(I72:L72)</f>
        <v>57162.15</v>
      </c>
      <c r="I72" s="308">
        <v>10764.02932</v>
      </c>
      <c r="J72" s="94"/>
      <c r="K72" s="94">
        <f>57162.15-I72</f>
        <v>46398.12068</v>
      </c>
      <c r="L72" s="94"/>
      <c r="M72" s="94">
        <f t="shared" si="23"/>
        <v>46398.12068</v>
      </c>
      <c r="N72" s="359">
        <v>43466</v>
      </c>
      <c r="O72" s="359">
        <v>43739</v>
      </c>
      <c r="P72" s="359">
        <v>44166</v>
      </c>
      <c r="Q72" s="97" t="s">
        <v>54</v>
      </c>
      <c r="R72" s="501" t="s">
        <v>97</v>
      </c>
    </row>
    <row r="73" spans="1:18" ht="15.75" customHeight="1" x14ac:dyDescent="0.2">
      <c r="A73" s="464"/>
      <c r="B73" s="465"/>
      <c r="C73" s="350">
        <v>2022</v>
      </c>
      <c r="D73" s="346"/>
      <c r="E73" s="355"/>
      <c r="F73" s="355"/>
      <c r="G73" s="92"/>
      <c r="H73" s="305">
        <f>SUM(I73:L73)</f>
        <v>0</v>
      </c>
      <c r="I73" s="308"/>
      <c r="J73" s="94"/>
      <c r="K73" s="94"/>
      <c r="L73" s="94"/>
      <c r="M73" s="94">
        <f t="shared" si="23"/>
        <v>0</v>
      </c>
      <c r="N73" s="97"/>
      <c r="O73" s="97"/>
      <c r="P73" s="97"/>
      <c r="Q73" s="97"/>
      <c r="R73" s="501"/>
    </row>
    <row r="74" spans="1:18" ht="15.75" customHeight="1" x14ac:dyDescent="0.2">
      <c r="A74" s="464"/>
      <c r="B74" s="465"/>
      <c r="C74" s="350" t="s">
        <v>39</v>
      </c>
      <c r="D74" s="346"/>
      <c r="E74" s="346"/>
      <c r="F74" s="346"/>
      <c r="G74" s="92"/>
      <c r="H74" s="305">
        <f>SUM(I74:L74)</f>
        <v>0</v>
      </c>
      <c r="I74" s="308"/>
      <c r="J74" s="94"/>
      <c r="K74" s="94"/>
      <c r="L74" s="94"/>
      <c r="M74" s="94">
        <f t="shared" si="23"/>
        <v>0</v>
      </c>
      <c r="N74" s="97"/>
      <c r="O74" s="97"/>
      <c r="P74" s="97"/>
      <c r="Q74" s="97"/>
      <c r="R74" s="501"/>
    </row>
    <row r="75" spans="1:18" ht="15.75" customHeight="1" x14ac:dyDescent="0.2">
      <c r="A75" s="464"/>
      <c r="B75" s="465"/>
      <c r="C75" s="350" t="s">
        <v>191</v>
      </c>
      <c r="D75" s="346"/>
      <c r="E75" s="346"/>
      <c r="F75" s="346"/>
      <c r="G75" s="92"/>
      <c r="H75" s="305">
        <f>SUM(I75:L75)</f>
        <v>0</v>
      </c>
      <c r="I75" s="308"/>
      <c r="J75" s="94"/>
      <c r="K75" s="94"/>
      <c r="L75" s="94"/>
      <c r="M75" s="94">
        <f t="shared" si="23"/>
        <v>0</v>
      </c>
      <c r="N75" s="97"/>
      <c r="O75" s="97"/>
      <c r="P75" s="97"/>
      <c r="Q75" s="97"/>
      <c r="R75" s="501"/>
    </row>
    <row r="76" spans="1:18" ht="15.75" customHeight="1" x14ac:dyDescent="0.2">
      <c r="A76" s="464"/>
      <c r="B76" s="465"/>
      <c r="C76" s="350">
        <v>2025</v>
      </c>
      <c r="D76" s="346"/>
      <c r="E76" s="346"/>
      <c r="F76" s="346"/>
      <c r="G76" s="92"/>
      <c r="H76" s="305">
        <f>SUM(I76:L76)</f>
        <v>0</v>
      </c>
      <c r="I76" s="308"/>
      <c r="J76" s="94"/>
      <c r="K76" s="94"/>
      <c r="L76" s="94"/>
      <c r="M76" s="94">
        <f t="shared" si="23"/>
        <v>0</v>
      </c>
      <c r="N76" s="97"/>
      <c r="O76" s="97"/>
      <c r="P76" s="97"/>
      <c r="Q76" s="97"/>
      <c r="R76" s="501"/>
    </row>
    <row r="77" spans="1:18" ht="15.75" customHeight="1" x14ac:dyDescent="0.2">
      <c r="A77" s="464"/>
      <c r="B77" s="465"/>
      <c r="C77" s="350" t="s">
        <v>26</v>
      </c>
      <c r="D77" s="302">
        <f t="shared" ref="D77:L77" si="25">SUM(D72:D76)</f>
        <v>359</v>
      </c>
      <c r="E77" s="302">
        <f t="shared" si="25"/>
        <v>1053.5</v>
      </c>
      <c r="F77" s="302">
        <f t="shared" si="25"/>
        <v>2.35</v>
      </c>
      <c r="G77" s="302">
        <f t="shared" si="25"/>
        <v>11.015000000000001</v>
      </c>
      <c r="H77" s="302">
        <f t="shared" si="25"/>
        <v>57162.15</v>
      </c>
      <c r="I77" s="302">
        <f t="shared" si="25"/>
        <v>10764.02932</v>
      </c>
      <c r="J77" s="302">
        <f t="shared" si="25"/>
        <v>0</v>
      </c>
      <c r="K77" s="302">
        <f t="shared" si="25"/>
        <v>46398.12068</v>
      </c>
      <c r="L77" s="302">
        <f t="shared" si="25"/>
        <v>0</v>
      </c>
      <c r="M77" s="94">
        <f t="shared" si="23"/>
        <v>46398.12068</v>
      </c>
      <c r="N77" s="97"/>
      <c r="O77" s="97"/>
      <c r="P77" s="97"/>
      <c r="Q77" s="97"/>
      <c r="R77" s="501"/>
    </row>
    <row r="78" spans="1:18" ht="15.75" customHeight="1" x14ac:dyDescent="0.2">
      <c r="A78" s="502" t="s">
        <v>29</v>
      </c>
      <c r="B78" s="502"/>
      <c r="C78" s="350" t="s">
        <v>25</v>
      </c>
      <c r="D78" s="90">
        <f>D66+D72</f>
        <v>745</v>
      </c>
      <c r="E78" s="90">
        <f t="shared" ref="E78:L78" si="26">E66+E72</f>
        <v>1970.58</v>
      </c>
      <c r="F78" s="90">
        <f t="shared" si="26"/>
        <v>4.4700000000000006</v>
      </c>
      <c r="G78" s="90">
        <f t="shared" si="26"/>
        <v>31.344999999999999</v>
      </c>
      <c r="H78" s="90">
        <f t="shared" si="26"/>
        <v>265999.90000000002</v>
      </c>
      <c r="I78" s="90">
        <f t="shared" si="26"/>
        <v>61180.630320000004</v>
      </c>
      <c r="J78" s="90">
        <f t="shared" si="26"/>
        <v>0</v>
      </c>
      <c r="K78" s="90">
        <f t="shared" si="26"/>
        <v>204819.26968</v>
      </c>
      <c r="L78" s="90">
        <f t="shared" si="26"/>
        <v>0</v>
      </c>
      <c r="M78" s="90">
        <f>SUMIF($C66:$C77,"2019",M66:M77)</f>
        <v>0</v>
      </c>
      <c r="N78" s="374"/>
      <c r="O78" s="97"/>
      <c r="P78" s="97"/>
      <c r="Q78" s="97"/>
      <c r="R78" s="466"/>
    </row>
    <row r="79" spans="1:18" ht="15.75" customHeight="1" x14ac:dyDescent="0.2">
      <c r="A79" s="502"/>
      <c r="B79" s="502"/>
      <c r="C79" s="350">
        <v>2022</v>
      </c>
      <c r="D79" s="90">
        <f t="shared" ref="D79:L82" si="27">D67+D73</f>
        <v>0</v>
      </c>
      <c r="E79" s="90">
        <f t="shared" si="27"/>
        <v>0</v>
      </c>
      <c r="F79" s="90">
        <f t="shared" si="27"/>
        <v>0</v>
      </c>
      <c r="G79" s="90">
        <f t="shared" si="27"/>
        <v>0</v>
      </c>
      <c r="H79" s="90">
        <f t="shared" si="27"/>
        <v>0</v>
      </c>
      <c r="I79" s="90">
        <f t="shared" si="27"/>
        <v>0</v>
      </c>
      <c r="J79" s="90">
        <f t="shared" si="27"/>
        <v>0</v>
      </c>
      <c r="K79" s="90">
        <f t="shared" si="27"/>
        <v>0</v>
      </c>
      <c r="L79" s="90">
        <f t="shared" si="27"/>
        <v>0</v>
      </c>
      <c r="M79" s="90">
        <f>SUMIF($C66:$C77,"2020",M66:M77)</f>
        <v>0</v>
      </c>
      <c r="N79" s="374"/>
      <c r="O79" s="97"/>
      <c r="P79" s="97"/>
      <c r="Q79" s="97"/>
      <c r="R79" s="466"/>
    </row>
    <row r="80" spans="1:18" ht="15.75" customHeight="1" x14ac:dyDescent="0.2">
      <c r="A80" s="502"/>
      <c r="B80" s="502"/>
      <c r="C80" s="350" t="s">
        <v>39</v>
      </c>
      <c r="D80" s="90">
        <f t="shared" si="27"/>
        <v>0</v>
      </c>
      <c r="E80" s="90">
        <f t="shared" si="27"/>
        <v>0</v>
      </c>
      <c r="F80" s="90">
        <f t="shared" si="27"/>
        <v>0</v>
      </c>
      <c r="G80" s="90">
        <f t="shared" si="27"/>
        <v>0</v>
      </c>
      <c r="H80" s="90">
        <f t="shared" si="27"/>
        <v>0</v>
      </c>
      <c r="I80" s="90">
        <f t="shared" si="27"/>
        <v>0</v>
      </c>
      <c r="J80" s="90">
        <f t="shared" si="27"/>
        <v>0</v>
      </c>
      <c r="K80" s="90">
        <f t="shared" si="27"/>
        <v>0</v>
      </c>
      <c r="L80" s="90">
        <f t="shared" si="27"/>
        <v>0</v>
      </c>
      <c r="M80" s="90">
        <f>SUMIF($C66:$C77,"2021",M66:M77)</f>
        <v>204819.26968</v>
      </c>
      <c r="N80" s="374"/>
      <c r="O80" s="97"/>
      <c r="P80" s="97"/>
      <c r="Q80" s="97"/>
      <c r="R80" s="466"/>
    </row>
    <row r="81" spans="1:18" ht="15.75" customHeight="1" x14ac:dyDescent="0.2">
      <c r="A81" s="502"/>
      <c r="B81" s="502"/>
      <c r="C81" s="350" t="s">
        <v>191</v>
      </c>
      <c r="D81" s="90">
        <f t="shared" si="27"/>
        <v>0</v>
      </c>
      <c r="E81" s="90">
        <f t="shared" si="27"/>
        <v>0</v>
      </c>
      <c r="F81" s="90">
        <f t="shared" si="27"/>
        <v>0</v>
      </c>
      <c r="G81" s="90">
        <f t="shared" si="27"/>
        <v>0</v>
      </c>
      <c r="H81" s="90">
        <f t="shared" si="27"/>
        <v>0</v>
      </c>
      <c r="I81" s="90">
        <f t="shared" si="27"/>
        <v>0</v>
      </c>
      <c r="J81" s="90">
        <f t="shared" si="27"/>
        <v>0</v>
      </c>
      <c r="K81" s="90">
        <f t="shared" si="27"/>
        <v>0</v>
      </c>
      <c r="L81" s="90">
        <f t="shared" si="27"/>
        <v>0</v>
      </c>
      <c r="M81" s="90">
        <f>SUMIF($C66:$C77,"2022",M66:M77)</f>
        <v>0</v>
      </c>
      <c r="N81" s="97"/>
      <c r="O81" s="97"/>
      <c r="P81" s="97"/>
      <c r="Q81" s="97"/>
      <c r="R81" s="466"/>
    </row>
    <row r="82" spans="1:18" ht="15.75" customHeight="1" x14ac:dyDescent="0.2">
      <c r="A82" s="502"/>
      <c r="B82" s="502"/>
      <c r="C82" s="350">
        <v>2025</v>
      </c>
      <c r="D82" s="90">
        <f t="shared" si="27"/>
        <v>0</v>
      </c>
      <c r="E82" s="90">
        <f t="shared" si="27"/>
        <v>0</v>
      </c>
      <c r="F82" s="90">
        <f t="shared" si="27"/>
        <v>0</v>
      </c>
      <c r="G82" s="90">
        <f t="shared" si="27"/>
        <v>0</v>
      </c>
      <c r="H82" s="90">
        <f t="shared" si="27"/>
        <v>0</v>
      </c>
      <c r="I82" s="90">
        <f t="shared" si="27"/>
        <v>0</v>
      </c>
      <c r="J82" s="90">
        <f t="shared" si="27"/>
        <v>0</v>
      </c>
      <c r="K82" s="90">
        <f t="shared" si="27"/>
        <v>0</v>
      </c>
      <c r="L82" s="90">
        <f t="shared" si="27"/>
        <v>0</v>
      </c>
      <c r="M82" s="90">
        <f>SUMIF($C66:$C77,"2023",M66:M77)</f>
        <v>0</v>
      </c>
      <c r="N82" s="97"/>
      <c r="O82" s="97"/>
      <c r="P82" s="97"/>
      <c r="Q82" s="97"/>
      <c r="R82" s="466"/>
    </row>
    <row r="83" spans="1:18" x14ac:dyDescent="0.2">
      <c r="A83" s="502"/>
      <c r="B83" s="502"/>
      <c r="C83" s="350" t="s">
        <v>12</v>
      </c>
      <c r="D83" s="302">
        <f>SUM(D78:D82)</f>
        <v>745</v>
      </c>
      <c r="E83" s="302">
        <f>SUM(E78:E82)</f>
        <v>1970.58</v>
      </c>
      <c r="F83" s="302">
        <f t="shared" ref="F83:L83" si="28">SUM(F78:F82)</f>
        <v>4.4700000000000006</v>
      </c>
      <c r="G83" s="302">
        <f t="shared" si="28"/>
        <v>31.344999999999999</v>
      </c>
      <c r="H83" s="375">
        <f>SUM(H78:H82)</f>
        <v>265999.90000000002</v>
      </c>
      <c r="I83" s="375">
        <f t="shared" si="28"/>
        <v>61180.630320000004</v>
      </c>
      <c r="J83" s="101">
        <f>SUM(J78:J82)</f>
        <v>0</v>
      </c>
      <c r="K83" s="101">
        <f>SUM(K78:K82)</f>
        <v>204819.26968</v>
      </c>
      <c r="L83" s="101">
        <f t="shared" si="28"/>
        <v>0</v>
      </c>
      <c r="M83" s="94">
        <f>J83+K83+L83</f>
        <v>204819.26968</v>
      </c>
      <c r="N83" s="97"/>
      <c r="O83" s="97"/>
      <c r="P83" s="97"/>
      <c r="Q83" s="97"/>
      <c r="R83" s="466"/>
    </row>
    <row r="84" spans="1:18" x14ac:dyDescent="0.2">
      <c r="A84" s="473" t="s">
        <v>14</v>
      </c>
      <c r="B84" s="474"/>
      <c r="C84" s="7"/>
      <c r="D84" s="10"/>
      <c r="E84" s="346"/>
      <c r="F84" s="10"/>
      <c r="G84" s="10"/>
      <c r="H84" s="7"/>
      <c r="I84" s="7"/>
      <c r="J84" s="17"/>
      <c r="K84" s="17"/>
      <c r="L84" s="17"/>
      <c r="M84" s="17"/>
      <c r="N84" s="7"/>
      <c r="O84" s="7"/>
      <c r="P84" s="7"/>
      <c r="Q84" s="7"/>
    </row>
    <row r="85" spans="1:18" ht="16.5" customHeight="1" x14ac:dyDescent="0.2">
      <c r="A85" s="464">
        <v>10</v>
      </c>
      <c r="B85" s="465" t="s">
        <v>62</v>
      </c>
      <c r="C85" s="350">
        <v>2021</v>
      </c>
      <c r="D85" s="346"/>
      <c r="E85" s="346"/>
      <c r="F85" s="346"/>
      <c r="G85" s="346"/>
      <c r="H85" s="351">
        <f>I85+J85+K85+L85</f>
        <v>0</v>
      </c>
      <c r="I85" s="308"/>
      <c r="J85" s="94"/>
      <c r="K85" s="94"/>
      <c r="L85" s="94"/>
      <c r="M85" s="94">
        <f t="shared" ref="M85:M101" si="29">J85+K85+L85</f>
        <v>0</v>
      </c>
      <c r="N85" s="97"/>
      <c r="O85" s="97"/>
      <c r="P85" s="97"/>
      <c r="Q85" s="97"/>
      <c r="R85" s="466"/>
    </row>
    <row r="86" spans="1:18" ht="16.5" customHeight="1" x14ac:dyDescent="0.2">
      <c r="A86" s="464"/>
      <c r="B86" s="465"/>
      <c r="C86" s="350">
        <v>2022</v>
      </c>
      <c r="D86" s="346"/>
      <c r="E86" s="346"/>
      <c r="F86" s="346"/>
      <c r="G86" s="346"/>
      <c r="H86" s="351">
        <f>I86+J86+K86+L86</f>
        <v>0</v>
      </c>
      <c r="I86" s="308"/>
      <c r="J86" s="94"/>
      <c r="K86" s="94"/>
      <c r="L86" s="94"/>
      <c r="M86" s="94">
        <f t="shared" si="29"/>
        <v>0</v>
      </c>
      <c r="N86" s="97"/>
      <c r="O86" s="97"/>
      <c r="P86" s="97"/>
      <c r="Q86" s="97"/>
      <c r="R86" s="466"/>
    </row>
    <row r="87" spans="1:18" ht="16.5" customHeight="1" x14ac:dyDescent="0.2">
      <c r="A87" s="464"/>
      <c r="B87" s="465"/>
      <c r="C87" s="350" t="s">
        <v>39</v>
      </c>
      <c r="D87" s="346">
        <v>148</v>
      </c>
      <c r="E87" s="346">
        <v>207.535</v>
      </c>
      <c r="F87" s="346">
        <v>0.4199</v>
      </c>
      <c r="G87" s="346">
        <v>4</v>
      </c>
      <c r="H87" s="351">
        <f>I87+J87+K87+L87</f>
        <v>22999.9</v>
      </c>
      <c r="I87" s="308"/>
      <c r="J87" s="94">
        <v>3000</v>
      </c>
      <c r="K87" s="94">
        <f>20000-0.1</f>
        <v>19999.900000000001</v>
      </c>
      <c r="L87" s="94"/>
      <c r="M87" s="94">
        <f t="shared" si="29"/>
        <v>22999.9</v>
      </c>
      <c r="N87" s="97" t="s">
        <v>28</v>
      </c>
      <c r="O87" s="97" t="s">
        <v>51</v>
      </c>
      <c r="P87" s="97" t="s">
        <v>53</v>
      </c>
      <c r="Q87" s="97"/>
      <c r="R87" s="466"/>
    </row>
    <row r="88" spans="1:18" ht="16.5" customHeight="1" x14ac:dyDescent="0.2">
      <c r="A88" s="464"/>
      <c r="B88" s="465"/>
      <c r="C88" s="350" t="s">
        <v>191</v>
      </c>
      <c r="D88" s="346"/>
      <c r="E88" s="346"/>
      <c r="F88" s="346"/>
      <c r="G88" s="346"/>
      <c r="H88" s="351">
        <f>I88+J88+K88+L88</f>
        <v>5000</v>
      </c>
      <c r="I88" s="308"/>
      <c r="J88" s="94"/>
      <c r="K88" s="94">
        <v>5000</v>
      </c>
      <c r="L88" s="94"/>
      <c r="M88" s="94">
        <f t="shared" si="29"/>
        <v>5000</v>
      </c>
      <c r="N88" s="97"/>
      <c r="O88" s="97"/>
      <c r="P88" s="97"/>
      <c r="Q88" s="97" t="s">
        <v>52</v>
      </c>
      <c r="R88" s="466"/>
    </row>
    <row r="89" spans="1:18" ht="16.5" customHeight="1" x14ac:dyDescent="0.2">
      <c r="A89" s="464"/>
      <c r="B89" s="465"/>
      <c r="C89" s="350">
        <v>2025</v>
      </c>
      <c r="D89" s="346"/>
      <c r="E89" s="346"/>
      <c r="F89" s="346"/>
      <c r="G89" s="346"/>
      <c r="H89" s="351">
        <f>I89+J89+K89+L89</f>
        <v>0</v>
      </c>
      <c r="I89" s="308"/>
      <c r="J89" s="94"/>
      <c r="K89" s="94"/>
      <c r="L89" s="94"/>
      <c r="M89" s="94">
        <f t="shared" si="29"/>
        <v>0</v>
      </c>
      <c r="N89" s="97"/>
      <c r="O89" s="97"/>
      <c r="P89" s="97"/>
      <c r="Q89" s="97"/>
      <c r="R89" s="466"/>
    </row>
    <row r="90" spans="1:18" ht="15.75" customHeight="1" x14ac:dyDescent="0.2">
      <c r="A90" s="464"/>
      <c r="B90" s="465"/>
      <c r="C90" s="350" t="s">
        <v>26</v>
      </c>
      <c r="D90" s="346">
        <f>SUM(D85:D89)</f>
        <v>148</v>
      </c>
      <c r="E90" s="346">
        <f t="shared" ref="E90:L90" si="30">SUM(E85:E89)</f>
        <v>207.535</v>
      </c>
      <c r="F90" s="346">
        <f t="shared" si="30"/>
        <v>0.4199</v>
      </c>
      <c r="G90" s="346">
        <f t="shared" si="30"/>
        <v>4</v>
      </c>
      <c r="H90" s="346">
        <f t="shared" si="30"/>
        <v>27999.9</v>
      </c>
      <c r="I90" s="92">
        <f>SUM(I85:I89)</f>
        <v>0</v>
      </c>
      <c r="J90" s="302">
        <f t="shared" si="30"/>
        <v>3000</v>
      </c>
      <c r="K90" s="302">
        <f t="shared" si="30"/>
        <v>24999.9</v>
      </c>
      <c r="L90" s="346">
        <f t="shared" si="30"/>
        <v>0</v>
      </c>
      <c r="M90" s="94">
        <f t="shared" si="29"/>
        <v>27999.9</v>
      </c>
      <c r="N90" s="97"/>
      <c r="O90" s="97"/>
      <c r="P90" s="97"/>
      <c r="Q90" s="97"/>
      <c r="R90" s="466"/>
    </row>
    <row r="91" spans="1:18" ht="18" customHeight="1" x14ac:dyDescent="0.2">
      <c r="A91" s="464">
        <v>11</v>
      </c>
      <c r="B91" s="465" t="s">
        <v>199</v>
      </c>
      <c r="C91" s="350">
        <v>2021</v>
      </c>
      <c r="D91" s="346">
        <v>2670</v>
      </c>
      <c r="E91" s="346">
        <v>9463.77</v>
      </c>
      <c r="F91" s="346">
        <v>27.48</v>
      </c>
      <c r="G91" s="346">
        <v>14</v>
      </c>
      <c r="H91" s="351">
        <f>I91+J91+K91+L91</f>
        <v>8568.893</v>
      </c>
      <c r="I91" s="308">
        <v>2768.893</v>
      </c>
      <c r="J91" s="301">
        <v>5800</v>
      </c>
      <c r="K91" s="94"/>
      <c r="L91" s="94"/>
      <c r="M91" s="94">
        <f t="shared" si="29"/>
        <v>5800</v>
      </c>
      <c r="N91" s="359">
        <v>44013</v>
      </c>
      <c r="O91" s="97" t="s">
        <v>31</v>
      </c>
      <c r="P91" s="97"/>
      <c r="Q91" s="97"/>
      <c r="R91" s="466"/>
    </row>
    <row r="92" spans="1:18" ht="18" customHeight="1" x14ac:dyDescent="0.2">
      <c r="A92" s="464"/>
      <c r="B92" s="465"/>
      <c r="C92" s="350">
        <v>2022</v>
      </c>
      <c r="D92" s="346"/>
      <c r="E92" s="346"/>
      <c r="F92" s="346"/>
      <c r="G92" s="346"/>
      <c r="H92" s="351">
        <f>I92+J92+K92+L92</f>
        <v>45693.04</v>
      </c>
      <c r="I92" s="308"/>
      <c r="J92" s="94"/>
      <c r="K92" s="293">
        <v>45693.04</v>
      </c>
      <c r="L92" s="94"/>
      <c r="M92" s="94">
        <f t="shared" si="29"/>
        <v>45693.04</v>
      </c>
      <c r="N92" s="97"/>
      <c r="O92" s="97"/>
      <c r="P92" s="97" t="s">
        <v>28</v>
      </c>
      <c r="Q92" s="97" t="s">
        <v>31</v>
      </c>
      <c r="R92" s="466"/>
    </row>
    <row r="93" spans="1:18" ht="18" customHeight="1" x14ac:dyDescent="0.2">
      <c r="A93" s="464"/>
      <c r="B93" s="465"/>
      <c r="C93" s="350" t="s">
        <v>39</v>
      </c>
      <c r="D93" s="346"/>
      <c r="E93" s="346"/>
      <c r="F93" s="346"/>
      <c r="G93" s="346"/>
      <c r="H93" s="351">
        <f>I93+J93+K93+L93</f>
        <v>0</v>
      </c>
      <c r="I93" s="308"/>
      <c r="J93" s="94"/>
      <c r="K93" s="293"/>
      <c r="L93" s="94"/>
      <c r="M93" s="94">
        <f t="shared" si="29"/>
        <v>0</v>
      </c>
      <c r="N93" s="97"/>
      <c r="O93" s="97"/>
      <c r="P93" s="97"/>
      <c r="Q93" s="97"/>
      <c r="R93" s="466"/>
    </row>
    <row r="94" spans="1:18" ht="18" customHeight="1" x14ac:dyDescent="0.2">
      <c r="A94" s="464"/>
      <c r="B94" s="465"/>
      <c r="C94" s="350" t="s">
        <v>191</v>
      </c>
      <c r="D94" s="346"/>
      <c r="E94" s="346"/>
      <c r="F94" s="346"/>
      <c r="G94" s="346"/>
      <c r="H94" s="351">
        <f>I94+J94+K94+L94</f>
        <v>0</v>
      </c>
      <c r="I94" s="308"/>
      <c r="J94" s="293"/>
      <c r="K94" s="293"/>
      <c r="L94" s="94"/>
      <c r="M94" s="94">
        <f t="shared" si="29"/>
        <v>0</v>
      </c>
      <c r="N94" s="97"/>
      <c r="O94" s="97"/>
      <c r="P94" s="97"/>
      <c r="Q94" s="97"/>
      <c r="R94" s="466"/>
    </row>
    <row r="95" spans="1:18" ht="18" customHeight="1" x14ac:dyDescent="0.2">
      <c r="A95" s="464"/>
      <c r="B95" s="465"/>
      <c r="C95" s="350">
        <v>2025</v>
      </c>
      <c r="D95" s="346"/>
      <c r="E95" s="346"/>
      <c r="F95" s="346"/>
      <c r="G95" s="346"/>
      <c r="H95" s="351">
        <f>I95+J95+K95+L95</f>
        <v>0</v>
      </c>
      <c r="I95" s="308"/>
      <c r="J95" s="94"/>
      <c r="K95" s="94"/>
      <c r="L95" s="94"/>
      <c r="M95" s="94">
        <f t="shared" si="29"/>
        <v>0</v>
      </c>
      <c r="N95" s="97"/>
      <c r="O95" s="97"/>
      <c r="P95" s="97"/>
      <c r="Q95" s="97"/>
      <c r="R95" s="466"/>
    </row>
    <row r="96" spans="1:18" ht="15" customHeight="1" x14ac:dyDescent="0.2">
      <c r="A96" s="464"/>
      <c r="B96" s="465"/>
      <c r="C96" s="350" t="s">
        <v>26</v>
      </c>
      <c r="D96" s="302">
        <f>SUM(D91:D95)</f>
        <v>2670</v>
      </c>
      <c r="E96" s="302">
        <f t="shared" ref="E96:L96" si="31">SUM(E91:E95)</f>
        <v>9463.77</v>
      </c>
      <c r="F96" s="302">
        <f t="shared" si="31"/>
        <v>27.48</v>
      </c>
      <c r="G96" s="302">
        <f t="shared" si="31"/>
        <v>14</v>
      </c>
      <c r="H96" s="302">
        <f t="shared" si="31"/>
        <v>54261.933000000005</v>
      </c>
      <c r="I96" s="302">
        <f t="shared" si="31"/>
        <v>2768.893</v>
      </c>
      <c r="J96" s="302">
        <f>SUM(J91:J95)</f>
        <v>5800</v>
      </c>
      <c r="K96" s="302">
        <f>SUM(K91:K95)</f>
        <v>45693.04</v>
      </c>
      <c r="L96" s="302">
        <f t="shared" si="31"/>
        <v>0</v>
      </c>
      <c r="M96" s="94">
        <f t="shared" si="29"/>
        <v>51493.04</v>
      </c>
      <c r="N96" s="97"/>
      <c r="O96" s="97"/>
      <c r="P96" s="97"/>
      <c r="Q96" s="97"/>
      <c r="R96" s="466"/>
    </row>
    <row r="97" spans="1:18" ht="16.5" customHeight="1" x14ac:dyDescent="0.2">
      <c r="A97" s="498">
        <v>12</v>
      </c>
      <c r="B97" s="465" t="s">
        <v>154</v>
      </c>
      <c r="C97" s="350">
        <v>2021</v>
      </c>
      <c r="D97" s="346">
        <v>80</v>
      </c>
      <c r="E97" s="302">
        <v>445.9</v>
      </c>
      <c r="F97" s="302">
        <v>1.88</v>
      </c>
      <c r="G97" s="302">
        <v>6.4</v>
      </c>
      <c r="H97" s="347">
        <f>I97+J97+K97+L97</f>
        <v>16308.00232</v>
      </c>
      <c r="I97" s="302">
        <v>938.29232000000002</v>
      </c>
      <c r="J97" s="302">
        <f>4200.47+61.71</f>
        <v>4262.18</v>
      </c>
      <c r="K97" s="302">
        <f>5300+5807.53</f>
        <v>11107.529999999999</v>
      </c>
      <c r="L97" s="101"/>
      <c r="M97" s="94">
        <f t="shared" si="29"/>
        <v>15369.71</v>
      </c>
      <c r="N97" s="359">
        <v>43952</v>
      </c>
      <c r="O97" s="97" t="s">
        <v>54</v>
      </c>
      <c r="P97" s="97" t="s">
        <v>49</v>
      </c>
      <c r="Q97" s="97" t="s">
        <v>53</v>
      </c>
      <c r="R97" s="466"/>
    </row>
    <row r="98" spans="1:18" ht="16.5" customHeight="1" x14ac:dyDescent="0.2">
      <c r="A98" s="499"/>
      <c r="B98" s="465"/>
      <c r="C98" s="350">
        <v>2022</v>
      </c>
      <c r="D98" s="346"/>
      <c r="E98" s="302"/>
      <c r="F98" s="302"/>
      <c r="G98" s="302"/>
      <c r="H98" s="347">
        <f t="shared" ref="H98:H101" si="32">I98+J98+K98+L98</f>
        <v>0</v>
      </c>
      <c r="I98" s="302"/>
      <c r="J98" s="302"/>
      <c r="K98" s="302">
        <v>0</v>
      </c>
      <c r="L98" s="101"/>
      <c r="M98" s="94">
        <f t="shared" si="29"/>
        <v>0</v>
      </c>
      <c r="N98" s="97"/>
      <c r="O98" s="97"/>
      <c r="P98" s="97"/>
      <c r="Q98" s="97"/>
      <c r="R98" s="466"/>
    </row>
    <row r="99" spans="1:18" ht="16.5" customHeight="1" x14ac:dyDescent="0.2">
      <c r="A99" s="499"/>
      <c r="B99" s="465"/>
      <c r="C99" s="350" t="s">
        <v>39</v>
      </c>
      <c r="D99" s="346"/>
      <c r="E99" s="302"/>
      <c r="F99" s="302"/>
      <c r="G99" s="302"/>
      <c r="H99" s="351">
        <f t="shared" si="32"/>
        <v>0</v>
      </c>
      <c r="I99" s="302"/>
      <c r="J99" s="101"/>
      <c r="K99" s="101"/>
      <c r="L99" s="101"/>
      <c r="M99" s="94">
        <f t="shared" si="29"/>
        <v>0</v>
      </c>
      <c r="N99" s="97"/>
      <c r="O99" s="97"/>
      <c r="P99" s="97"/>
      <c r="Q99" s="97"/>
      <c r="R99" s="466"/>
    </row>
    <row r="100" spans="1:18" ht="16.5" customHeight="1" x14ac:dyDescent="0.2">
      <c r="A100" s="499"/>
      <c r="B100" s="465"/>
      <c r="C100" s="350" t="s">
        <v>191</v>
      </c>
      <c r="D100" s="346"/>
      <c r="E100" s="302"/>
      <c r="F100" s="302"/>
      <c r="G100" s="302"/>
      <c r="H100" s="351">
        <f t="shared" si="32"/>
        <v>0</v>
      </c>
      <c r="I100" s="302"/>
      <c r="J100" s="101"/>
      <c r="K100" s="101">
        <v>0</v>
      </c>
      <c r="L100" s="101"/>
      <c r="M100" s="94">
        <f t="shared" si="29"/>
        <v>0</v>
      </c>
      <c r="N100" s="97"/>
      <c r="O100" s="97"/>
      <c r="P100" s="97"/>
      <c r="Q100" s="97"/>
      <c r="R100" s="466"/>
    </row>
    <row r="101" spans="1:18" ht="16.5" customHeight="1" x14ac:dyDescent="0.2">
      <c r="A101" s="499"/>
      <c r="B101" s="465"/>
      <c r="C101" s="350">
        <v>2025</v>
      </c>
      <c r="D101" s="346"/>
      <c r="E101" s="302"/>
      <c r="F101" s="302"/>
      <c r="G101" s="302"/>
      <c r="H101" s="351">
        <f t="shared" si="32"/>
        <v>0</v>
      </c>
      <c r="I101" s="302"/>
      <c r="J101" s="101"/>
      <c r="K101" s="101"/>
      <c r="L101" s="101"/>
      <c r="M101" s="94">
        <f t="shared" si="29"/>
        <v>0</v>
      </c>
      <c r="N101" s="97"/>
      <c r="O101" s="97"/>
      <c r="P101" s="97"/>
      <c r="Q101" s="97"/>
      <c r="R101" s="466"/>
    </row>
    <row r="102" spans="1:18" ht="15.75" customHeight="1" x14ac:dyDescent="0.2">
      <c r="A102" s="500"/>
      <c r="B102" s="465"/>
      <c r="C102" s="350" t="s">
        <v>26</v>
      </c>
      <c r="D102" s="346">
        <f>SUM(D97:D101)</f>
        <v>80</v>
      </c>
      <c r="E102" s="346">
        <f t="shared" ref="E102:L102" si="33">SUM(E97:E101)</f>
        <v>445.9</v>
      </c>
      <c r="F102" s="346">
        <f t="shared" si="33"/>
        <v>1.88</v>
      </c>
      <c r="G102" s="346">
        <f t="shared" si="33"/>
        <v>6.4</v>
      </c>
      <c r="H102" s="92">
        <f>SUM(H97:H101)</f>
        <v>16308.00232</v>
      </c>
      <c r="I102" s="302">
        <f t="shared" si="33"/>
        <v>938.29232000000002</v>
      </c>
      <c r="J102" s="302">
        <f t="shared" si="33"/>
        <v>4262.18</v>
      </c>
      <c r="K102" s="302">
        <f t="shared" si="33"/>
        <v>11107.529999999999</v>
      </c>
      <c r="L102" s="346">
        <f t="shared" si="33"/>
        <v>0</v>
      </c>
      <c r="M102" s="92">
        <f>SUM(M97:M101)</f>
        <v>15369.71</v>
      </c>
      <c r="N102" s="97"/>
      <c r="O102" s="97"/>
      <c r="P102" s="97"/>
      <c r="Q102" s="97"/>
      <c r="R102" s="466"/>
    </row>
    <row r="103" spans="1:18" ht="16.5" customHeight="1" x14ac:dyDescent="0.2">
      <c r="A103" s="498">
        <v>13</v>
      </c>
      <c r="B103" s="465" t="s">
        <v>204</v>
      </c>
      <c r="C103" s="350">
        <v>2021</v>
      </c>
      <c r="D103" s="346"/>
      <c r="E103" s="302"/>
      <c r="F103" s="302"/>
      <c r="G103" s="302"/>
      <c r="H103" s="347">
        <f>I103+J103+K103+L103</f>
        <v>0</v>
      </c>
      <c r="I103" s="302"/>
      <c r="J103" s="302"/>
      <c r="K103" s="302"/>
      <c r="L103" s="101"/>
      <c r="M103" s="94">
        <f t="shared" ref="M103:M107" si="34">J103+K103+L103</f>
        <v>0</v>
      </c>
      <c r="N103" s="359"/>
      <c r="O103" s="97"/>
      <c r="P103" s="97"/>
      <c r="Q103" s="97"/>
      <c r="R103" s="466"/>
    </row>
    <row r="104" spans="1:18" ht="16.5" customHeight="1" x14ac:dyDescent="0.2">
      <c r="A104" s="499"/>
      <c r="B104" s="465"/>
      <c r="C104" s="350">
        <v>2022</v>
      </c>
      <c r="D104" s="346">
        <v>400</v>
      </c>
      <c r="E104" s="302">
        <v>950</v>
      </c>
      <c r="F104" s="302">
        <v>3.5</v>
      </c>
      <c r="G104" s="302">
        <v>14</v>
      </c>
      <c r="H104" s="347">
        <f t="shared" ref="H104:H107" si="35">I104+J104+K104+L104</f>
        <v>7000</v>
      </c>
      <c r="I104" s="302"/>
      <c r="J104" s="101">
        <v>7000</v>
      </c>
      <c r="K104" s="101">
        <v>0</v>
      </c>
      <c r="L104" s="101"/>
      <c r="M104" s="94">
        <f t="shared" si="34"/>
        <v>7000</v>
      </c>
      <c r="N104" s="97" t="s">
        <v>28</v>
      </c>
      <c r="O104" s="97" t="s">
        <v>31</v>
      </c>
      <c r="P104" s="97"/>
      <c r="Q104" s="97"/>
      <c r="R104" s="466"/>
    </row>
    <row r="105" spans="1:18" ht="16.5" customHeight="1" x14ac:dyDescent="0.2">
      <c r="A105" s="499"/>
      <c r="B105" s="465"/>
      <c r="C105" s="350" t="s">
        <v>39</v>
      </c>
      <c r="D105" s="346"/>
      <c r="E105" s="302"/>
      <c r="F105" s="302"/>
      <c r="G105" s="302"/>
      <c r="H105" s="351">
        <f t="shared" si="35"/>
        <v>70000</v>
      </c>
      <c r="I105" s="302"/>
      <c r="J105" s="101"/>
      <c r="K105" s="101">
        <v>70000</v>
      </c>
      <c r="L105" s="101"/>
      <c r="M105" s="94">
        <f t="shared" si="34"/>
        <v>70000</v>
      </c>
      <c r="N105" s="97"/>
      <c r="O105" s="97"/>
      <c r="P105" s="97" t="s">
        <v>28</v>
      </c>
      <c r="Q105" s="97" t="s">
        <v>49</v>
      </c>
      <c r="R105" s="466"/>
    </row>
    <row r="106" spans="1:18" ht="16.5" customHeight="1" x14ac:dyDescent="0.2">
      <c r="A106" s="499"/>
      <c r="B106" s="465"/>
      <c r="C106" s="350" t="s">
        <v>191</v>
      </c>
      <c r="D106" s="346"/>
      <c r="E106" s="302"/>
      <c r="F106" s="302"/>
      <c r="G106" s="302"/>
      <c r="H106" s="351">
        <f t="shared" si="35"/>
        <v>0</v>
      </c>
      <c r="I106" s="302"/>
      <c r="J106" s="101"/>
      <c r="K106" s="101"/>
      <c r="L106" s="101"/>
      <c r="M106" s="94">
        <f t="shared" si="34"/>
        <v>0</v>
      </c>
      <c r="N106" s="97"/>
      <c r="O106" s="97"/>
      <c r="P106" s="97"/>
      <c r="Q106" s="97"/>
      <c r="R106" s="466"/>
    </row>
    <row r="107" spans="1:18" ht="16.5" customHeight="1" x14ac:dyDescent="0.2">
      <c r="A107" s="499"/>
      <c r="B107" s="465"/>
      <c r="C107" s="350">
        <v>2025</v>
      </c>
      <c r="D107" s="346"/>
      <c r="E107" s="302"/>
      <c r="F107" s="302"/>
      <c r="G107" s="302"/>
      <c r="H107" s="351">
        <f t="shared" si="35"/>
        <v>0</v>
      </c>
      <c r="I107" s="302"/>
      <c r="J107" s="101"/>
      <c r="K107" s="101"/>
      <c r="L107" s="101"/>
      <c r="M107" s="94">
        <f t="shared" si="34"/>
        <v>0</v>
      </c>
      <c r="N107" s="97"/>
      <c r="O107" s="97"/>
      <c r="P107" s="97"/>
      <c r="Q107" s="97"/>
      <c r="R107" s="466"/>
    </row>
    <row r="108" spans="1:18" ht="15.75" customHeight="1" x14ac:dyDescent="0.2">
      <c r="A108" s="500"/>
      <c r="B108" s="465"/>
      <c r="C108" s="350" t="s">
        <v>26</v>
      </c>
      <c r="D108" s="346">
        <f>SUM(D103:D107)</f>
        <v>400</v>
      </c>
      <c r="E108" s="346">
        <f t="shared" ref="E108:G108" si="36">SUM(E103:E107)</f>
        <v>950</v>
      </c>
      <c r="F108" s="346">
        <f t="shared" si="36"/>
        <v>3.5</v>
      </c>
      <c r="G108" s="346">
        <f t="shared" si="36"/>
        <v>14</v>
      </c>
      <c r="H108" s="92">
        <f>SUM(H103:H107)</f>
        <v>77000</v>
      </c>
      <c r="I108" s="302">
        <f t="shared" ref="I108:L108" si="37">SUM(I103:I107)</f>
        <v>0</v>
      </c>
      <c r="J108" s="302">
        <f t="shared" si="37"/>
        <v>7000</v>
      </c>
      <c r="K108" s="302">
        <f t="shared" si="37"/>
        <v>70000</v>
      </c>
      <c r="L108" s="346">
        <f t="shared" si="37"/>
        <v>0</v>
      </c>
      <c r="M108" s="92">
        <f>SUM(M103:M107)</f>
        <v>77000</v>
      </c>
      <c r="N108" s="97"/>
      <c r="O108" s="97"/>
      <c r="P108" s="97"/>
      <c r="Q108" s="97"/>
      <c r="R108" s="466"/>
    </row>
    <row r="109" spans="1:18" ht="15.75" customHeight="1" x14ac:dyDescent="0.2">
      <c r="A109" s="502" t="s">
        <v>29</v>
      </c>
      <c r="B109" s="502"/>
      <c r="C109" s="350" t="s">
        <v>25</v>
      </c>
      <c r="D109" s="90">
        <f>D97+D91+D85+D103</f>
        <v>2750</v>
      </c>
      <c r="E109" s="90">
        <f t="shared" ref="E109:L109" si="38">E97+E91+E85+E103</f>
        <v>9909.67</v>
      </c>
      <c r="F109" s="90">
        <f t="shared" si="38"/>
        <v>29.36</v>
      </c>
      <c r="G109" s="90">
        <f t="shared" si="38"/>
        <v>20.399999999999999</v>
      </c>
      <c r="H109" s="90">
        <f t="shared" si="38"/>
        <v>24876.89532</v>
      </c>
      <c r="I109" s="90">
        <f>I97+I91+I85+I103</f>
        <v>3707.18532</v>
      </c>
      <c r="J109" s="90">
        <f>J97+J91+J85+J103</f>
        <v>10062.18</v>
      </c>
      <c r="K109" s="90">
        <f t="shared" si="38"/>
        <v>11107.529999999999</v>
      </c>
      <c r="L109" s="90">
        <f t="shared" si="38"/>
        <v>0</v>
      </c>
      <c r="M109" s="94">
        <f t="shared" ref="M109:M113" si="39">J109+K109+L109</f>
        <v>21169.71</v>
      </c>
      <c r="N109" s="97"/>
      <c r="O109" s="97"/>
      <c r="P109" s="97"/>
      <c r="Q109" s="97"/>
      <c r="R109" s="466"/>
    </row>
    <row r="110" spans="1:18" ht="15.75" customHeight="1" x14ac:dyDescent="0.2">
      <c r="A110" s="502"/>
      <c r="B110" s="502"/>
      <c r="C110" s="350">
        <v>2022</v>
      </c>
      <c r="D110" s="90">
        <f t="shared" ref="D110:L110" si="40">D98+D92+D86+D104</f>
        <v>400</v>
      </c>
      <c r="E110" s="90">
        <f t="shared" si="40"/>
        <v>950</v>
      </c>
      <c r="F110" s="90">
        <f t="shared" si="40"/>
        <v>3.5</v>
      </c>
      <c r="G110" s="90">
        <f t="shared" si="40"/>
        <v>14</v>
      </c>
      <c r="H110" s="90">
        <f t="shared" si="40"/>
        <v>52693.04</v>
      </c>
      <c r="I110" s="90">
        <f t="shared" si="40"/>
        <v>0</v>
      </c>
      <c r="J110" s="90">
        <f>J98+J92+J86+J104</f>
        <v>7000</v>
      </c>
      <c r="K110" s="90">
        <f t="shared" si="40"/>
        <v>45693.04</v>
      </c>
      <c r="L110" s="90">
        <f t="shared" si="40"/>
        <v>0</v>
      </c>
      <c r="M110" s="94">
        <f t="shared" si="39"/>
        <v>52693.04</v>
      </c>
      <c r="N110" s="97"/>
      <c r="O110" s="97"/>
      <c r="P110" s="97"/>
      <c r="Q110" s="97"/>
      <c r="R110" s="466"/>
    </row>
    <row r="111" spans="1:18" ht="15.75" customHeight="1" x14ac:dyDescent="0.2">
      <c r="A111" s="502"/>
      <c r="B111" s="502"/>
      <c r="C111" s="350" t="s">
        <v>39</v>
      </c>
      <c r="D111" s="90">
        <f t="shared" ref="D111:L111" si="41">D99+D93+D87+D105</f>
        <v>148</v>
      </c>
      <c r="E111" s="90">
        <f t="shared" si="41"/>
        <v>207.535</v>
      </c>
      <c r="F111" s="90">
        <f t="shared" si="41"/>
        <v>0.4199</v>
      </c>
      <c r="G111" s="90">
        <f t="shared" si="41"/>
        <v>4</v>
      </c>
      <c r="H111" s="90">
        <f t="shared" si="41"/>
        <v>92999.9</v>
      </c>
      <c r="I111" s="90">
        <f t="shared" si="41"/>
        <v>0</v>
      </c>
      <c r="J111" s="90">
        <f>J99+J93+J87+J105</f>
        <v>3000</v>
      </c>
      <c r="K111" s="90">
        <f>K99+K93+K87+K105</f>
        <v>89999.9</v>
      </c>
      <c r="L111" s="90">
        <f t="shared" si="41"/>
        <v>0</v>
      </c>
      <c r="M111" s="94">
        <f t="shared" si="39"/>
        <v>92999.9</v>
      </c>
      <c r="N111" s="97"/>
      <c r="O111" s="97"/>
      <c r="P111" s="97"/>
      <c r="Q111" s="97"/>
      <c r="R111" s="466"/>
    </row>
    <row r="112" spans="1:18" ht="15.75" customHeight="1" x14ac:dyDescent="0.2">
      <c r="A112" s="502"/>
      <c r="B112" s="502"/>
      <c r="C112" s="350" t="s">
        <v>191</v>
      </c>
      <c r="D112" s="90">
        <f t="shared" ref="D112:L112" si="42">D100+D94+D88+D106</f>
        <v>0</v>
      </c>
      <c r="E112" s="90">
        <f t="shared" si="42"/>
        <v>0</v>
      </c>
      <c r="F112" s="90">
        <f t="shared" si="42"/>
        <v>0</v>
      </c>
      <c r="G112" s="90">
        <f t="shared" si="42"/>
        <v>0</v>
      </c>
      <c r="H112" s="90">
        <f t="shared" si="42"/>
        <v>5000</v>
      </c>
      <c r="I112" s="90">
        <f t="shared" si="42"/>
        <v>0</v>
      </c>
      <c r="J112" s="90">
        <f>J100+J94+J88+J106</f>
        <v>0</v>
      </c>
      <c r="K112" s="90">
        <f>K100+K94+K88+K106</f>
        <v>5000</v>
      </c>
      <c r="L112" s="90">
        <f t="shared" si="42"/>
        <v>0</v>
      </c>
      <c r="M112" s="94">
        <f t="shared" si="39"/>
        <v>5000</v>
      </c>
      <c r="N112" s="97"/>
      <c r="O112" s="97"/>
      <c r="P112" s="97"/>
      <c r="Q112" s="97"/>
      <c r="R112" s="466"/>
    </row>
    <row r="113" spans="1:18" ht="15.75" customHeight="1" x14ac:dyDescent="0.2">
      <c r="A113" s="502"/>
      <c r="B113" s="502"/>
      <c r="C113" s="350">
        <v>2025</v>
      </c>
      <c r="D113" s="90">
        <f t="shared" ref="D113:L113" si="43">D101+D95+D89+D107</f>
        <v>0</v>
      </c>
      <c r="E113" s="90">
        <f t="shared" si="43"/>
        <v>0</v>
      </c>
      <c r="F113" s="90">
        <f t="shared" si="43"/>
        <v>0</v>
      </c>
      <c r="G113" s="90">
        <f t="shared" si="43"/>
        <v>0</v>
      </c>
      <c r="H113" s="90">
        <f t="shared" si="43"/>
        <v>0</v>
      </c>
      <c r="I113" s="90">
        <f t="shared" si="43"/>
        <v>0</v>
      </c>
      <c r="J113" s="90">
        <f t="shared" si="43"/>
        <v>0</v>
      </c>
      <c r="K113" s="90">
        <f t="shared" si="43"/>
        <v>0</v>
      </c>
      <c r="L113" s="90">
        <f t="shared" si="43"/>
        <v>0</v>
      </c>
      <c r="M113" s="94">
        <f t="shared" si="39"/>
        <v>0</v>
      </c>
      <c r="N113" s="97"/>
      <c r="O113" s="97"/>
      <c r="P113" s="97"/>
      <c r="Q113" s="97"/>
      <c r="R113" s="466"/>
    </row>
    <row r="114" spans="1:18" x14ac:dyDescent="0.2">
      <c r="A114" s="502"/>
      <c r="B114" s="502"/>
      <c r="C114" s="350" t="s">
        <v>12</v>
      </c>
      <c r="D114" s="302">
        <f t="shared" ref="D114:L114" si="44">SUM(D109:D113)</f>
        <v>3298</v>
      </c>
      <c r="E114" s="302">
        <f t="shared" si="44"/>
        <v>11067.205</v>
      </c>
      <c r="F114" s="302">
        <f t="shared" si="44"/>
        <v>33.279899999999998</v>
      </c>
      <c r="G114" s="302">
        <f t="shared" si="44"/>
        <v>38.4</v>
      </c>
      <c r="H114" s="302">
        <f t="shared" si="44"/>
        <v>175569.83532000001</v>
      </c>
      <c r="I114" s="302">
        <f t="shared" si="44"/>
        <v>3707.18532</v>
      </c>
      <c r="J114" s="302">
        <f>SUM(J109:J113)</f>
        <v>20062.18</v>
      </c>
      <c r="K114" s="302">
        <f t="shared" si="44"/>
        <v>151800.47</v>
      </c>
      <c r="L114" s="302">
        <f t="shared" si="44"/>
        <v>0</v>
      </c>
      <c r="M114" s="94">
        <f>J114+K114+L114</f>
        <v>171862.65</v>
      </c>
      <c r="N114" s="97"/>
      <c r="O114" s="97"/>
      <c r="P114" s="97"/>
      <c r="Q114" s="97"/>
      <c r="R114" s="466"/>
    </row>
    <row r="115" spans="1:18" ht="15" customHeight="1" x14ac:dyDescent="0.2">
      <c r="A115" s="473" t="s">
        <v>4</v>
      </c>
      <c r="B115" s="474"/>
      <c r="C115" s="7"/>
      <c r="D115" s="10"/>
      <c r="E115" s="346"/>
      <c r="F115" s="10"/>
      <c r="G115" s="10"/>
      <c r="H115" s="7"/>
      <c r="I115" s="7"/>
      <c r="J115" s="17"/>
      <c r="K115" s="17"/>
      <c r="L115" s="17"/>
      <c r="M115" s="17"/>
      <c r="N115" s="7"/>
      <c r="O115" s="7"/>
      <c r="P115" s="7"/>
      <c r="Q115" s="7"/>
      <c r="R115" s="503" t="s">
        <v>95</v>
      </c>
    </row>
    <row r="116" spans="1:18" ht="15.75" customHeight="1" x14ac:dyDescent="0.2">
      <c r="A116" s="479">
        <v>14</v>
      </c>
      <c r="B116" s="488" t="s">
        <v>209</v>
      </c>
      <c r="C116" s="350">
        <v>2021</v>
      </c>
      <c r="D116" s="346"/>
      <c r="E116" s="346"/>
      <c r="F116" s="346"/>
      <c r="G116" s="346"/>
      <c r="H116" s="351">
        <f>I116+J116+K116+L116</f>
        <v>0</v>
      </c>
      <c r="I116" s="308"/>
      <c r="J116" s="92"/>
      <c r="K116" s="92"/>
      <c r="L116" s="94"/>
      <c r="M116" s="94">
        <f t="shared" ref="M116:M121" si="45">J116+K116+L116</f>
        <v>0</v>
      </c>
      <c r="N116" s="97"/>
      <c r="O116" s="97"/>
      <c r="P116" s="97"/>
      <c r="Q116" s="97"/>
      <c r="R116" s="503"/>
    </row>
    <row r="117" spans="1:18" ht="15.75" customHeight="1" x14ac:dyDescent="0.2">
      <c r="A117" s="479"/>
      <c r="B117" s="489"/>
      <c r="C117" s="350">
        <v>2022</v>
      </c>
      <c r="D117" s="346">
        <v>125</v>
      </c>
      <c r="E117" s="346">
        <v>202.8</v>
      </c>
      <c r="F117" s="346">
        <v>1.01</v>
      </c>
      <c r="G117" s="346">
        <v>4.5</v>
      </c>
      <c r="H117" s="351">
        <f>I117+J117+K117+L117</f>
        <v>3000</v>
      </c>
      <c r="I117" s="308"/>
      <c r="J117" s="92">
        <v>3000</v>
      </c>
      <c r="K117" s="92"/>
      <c r="L117" s="94"/>
      <c r="M117" s="94">
        <f t="shared" si="45"/>
        <v>3000</v>
      </c>
      <c r="N117" s="97" t="s">
        <v>52</v>
      </c>
      <c r="O117" s="97" t="s">
        <v>31</v>
      </c>
      <c r="P117" s="97"/>
      <c r="Q117" s="97"/>
      <c r="R117" s="503"/>
    </row>
    <row r="118" spans="1:18" ht="15.75" customHeight="1" x14ac:dyDescent="0.2">
      <c r="A118" s="479"/>
      <c r="B118" s="489"/>
      <c r="C118" s="350" t="s">
        <v>39</v>
      </c>
      <c r="D118" s="346"/>
      <c r="E118" s="346"/>
      <c r="F118" s="346"/>
      <c r="G118" s="346"/>
      <c r="H118" s="351">
        <f>I118+J118+K118+L118</f>
        <v>35000</v>
      </c>
      <c r="I118" s="308"/>
      <c r="J118" s="92"/>
      <c r="K118" s="92">
        <v>35000</v>
      </c>
      <c r="L118" s="94"/>
      <c r="M118" s="94">
        <f t="shared" si="45"/>
        <v>35000</v>
      </c>
      <c r="N118" s="97"/>
      <c r="O118" s="97"/>
      <c r="P118" s="97" t="s">
        <v>28</v>
      </c>
      <c r="Q118" s="97" t="s">
        <v>51</v>
      </c>
      <c r="R118" s="503"/>
    </row>
    <row r="119" spans="1:18" ht="15.75" customHeight="1" x14ac:dyDescent="0.2">
      <c r="A119" s="479"/>
      <c r="B119" s="489"/>
      <c r="C119" s="350" t="s">
        <v>191</v>
      </c>
      <c r="D119" s="346"/>
      <c r="E119" s="346"/>
      <c r="F119" s="346"/>
      <c r="G119" s="346"/>
      <c r="H119" s="351">
        <f>I119+J119+K119+L119</f>
        <v>0</v>
      </c>
      <c r="I119" s="308"/>
      <c r="J119" s="94"/>
      <c r="K119" s="94"/>
      <c r="L119" s="94"/>
      <c r="M119" s="94">
        <f t="shared" si="45"/>
        <v>0</v>
      </c>
      <c r="N119" s="97"/>
      <c r="O119" s="97"/>
      <c r="P119" s="97"/>
      <c r="Q119" s="97"/>
      <c r="R119" s="503"/>
    </row>
    <row r="120" spans="1:18" ht="15.75" customHeight="1" x14ac:dyDescent="0.2">
      <c r="A120" s="479"/>
      <c r="B120" s="489"/>
      <c r="C120" s="350">
        <v>2025</v>
      </c>
      <c r="D120" s="346"/>
      <c r="E120" s="346"/>
      <c r="F120" s="346"/>
      <c r="G120" s="346"/>
      <c r="H120" s="351">
        <f>I120+J120+K120+L120</f>
        <v>0</v>
      </c>
      <c r="I120" s="308"/>
      <c r="J120" s="94"/>
      <c r="K120" s="94"/>
      <c r="L120" s="94"/>
      <c r="M120" s="94">
        <f t="shared" si="45"/>
        <v>0</v>
      </c>
      <c r="N120" s="97"/>
      <c r="O120" s="97"/>
      <c r="P120" s="97"/>
      <c r="Q120" s="97"/>
      <c r="R120" s="503"/>
    </row>
    <row r="121" spans="1:18" ht="15.75" customHeight="1" x14ac:dyDescent="0.2">
      <c r="A121" s="479"/>
      <c r="B121" s="490"/>
      <c r="C121" s="350" t="s">
        <v>26</v>
      </c>
      <c r="D121" s="302">
        <f>SUM(D116:D120)</f>
        <v>125</v>
      </c>
      <c r="E121" s="302">
        <f t="shared" ref="E121:L121" si="46">SUM(E116:E120)</f>
        <v>202.8</v>
      </c>
      <c r="F121" s="302">
        <f t="shared" si="46"/>
        <v>1.01</v>
      </c>
      <c r="G121" s="302">
        <f t="shared" si="46"/>
        <v>4.5</v>
      </c>
      <c r="H121" s="302">
        <f>SUM(H116:H120)</f>
        <v>38000</v>
      </c>
      <c r="I121" s="302">
        <f t="shared" si="46"/>
        <v>0</v>
      </c>
      <c r="J121" s="101">
        <f t="shared" si="46"/>
        <v>3000</v>
      </c>
      <c r="K121" s="101">
        <f t="shared" si="46"/>
        <v>35000</v>
      </c>
      <c r="L121" s="101">
        <f t="shared" si="46"/>
        <v>0</v>
      </c>
      <c r="M121" s="94">
        <f t="shared" si="45"/>
        <v>38000</v>
      </c>
      <c r="N121" s="97"/>
      <c r="O121" s="97"/>
      <c r="P121" s="97"/>
      <c r="Q121" s="97"/>
      <c r="R121" s="503"/>
    </row>
    <row r="122" spans="1:18" ht="15.75" customHeight="1" x14ac:dyDescent="0.2">
      <c r="A122" s="479">
        <v>15</v>
      </c>
      <c r="B122" s="488" t="s">
        <v>211</v>
      </c>
      <c r="C122" s="350">
        <v>2021</v>
      </c>
      <c r="D122" s="346">
        <v>250</v>
      </c>
      <c r="E122" s="346">
        <v>850</v>
      </c>
      <c r="F122" s="346">
        <v>3.2</v>
      </c>
      <c r="G122" s="346">
        <v>7</v>
      </c>
      <c r="H122" s="351">
        <f>I122+J122+K122+L122</f>
        <v>4000</v>
      </c>
      <c r="I122" s="308"/>
      <c r="J122" s="94">
        <v>4000</v>
      </c>
      <c r="K122" s="94"/>
      <c r="L122" s="94"/>
      <c r="M122" s="94">
        <f t="shared" ref="M122:M127" si="47">J122+K122+L122</f>
        <v>4000</v>
      </c>
      <c r="N122" s="97" t="s">
        <v>48</v>
      </c>
      <c r="O122" s="97"/>
      <c r="P122" s="97"/>
      <c r="Q122" s="97"/>
      <c r="R122" s="300"/>
    </row>
    <row r="123" spans="1:18" ht="15.75" customHeight="1" x14ac:dyDescent="0.2">
      <c r="A123" s="479"/>
      <c r="B123" s="489"/>
      <c r="C123" s="350">
        <v>2022</v>
      </c>
      <c r="D123" s="346"/>
      <c r="E123" s="346"/>
      <c r="F123" s="346"/>
      <c r="G123" s="346"/>
      <c r="H123" s="351">
        <f>I123+J123+K123+L123</f>
        <v>41000</v>
      </c>
      <c r="I123" s="308"/>
      <c r="J123" s="94">
        <v>1000</v>
      </c>
      <c r="K123" s="94">
        <v>40000</v>
      </c>
      <c r="L123" s="94"/>
      <c r="M123" s="94">
        <f t="shared" si="47"/>
        <v>41000</v>
      </c>
      <c r="N123" s="97"/>
      <c r="O123" s="97" t="s">
        <v>52</v>
      </c>
      <c r="P123" s="97" t="s">
        <v>71</v>
      </c>
      <c r="Q123" s="97" t="s">
        <v>51</v>
      </c>
      <c r="R123" s="300"/>
    </row>
    <row r="124" spans="1:18" ht="15.75" customHeight="1" x14ac:dyDescent="0.2">
      <c r="A124" s="479"/>
      <c r="B124" s="489"/>
      <c r="C124" s="350" t="s">
        <v>39</v>
      </c>
      <c r="D124" s="346"/>
      <c r="E124" s="346"/>
      <c r="F124" s="346"/>
      <c r="G124" s="346"/>
      <c r="H124" s="351">
        <f>I124+J124+K124+L124</f>
        <v>0</v>
      </c>
      <c r="I124" s="308"/>
      <c r="J124" s="94"/>
      <c r="K124" s="94"/>
      <c r="L124" s="94"/>
      <c r="M124" s="94">
        <f t="shared" si="47"/>
        <v>0</v>
      </c>
      <c r="N124" s="97"/>
      <c r="O124" s="97"/>
      <c r="P124" s="97"/>
      <c r="Q124" s="97"/>
      <c r="R124" s="300"/>
    </row>
    <row r="125" spans="1:18" ht="15.75" customHeight="1" x14ac:dyDescent="0.2">
      <c r="A125" s="479"/>
      <c r="B125" s="489"/>
      <c r="C125" s="350" t="s">
        <v>191</v>
      </c>
      <c r="D125" s="346"/>
      <c r="E125" s="346"/>
      <c r="F125" s="346"/>
      <c r="G125" s="346"/>
      <c r="H125" s="351">
        <f>I125+J125+K125+L125</f>
        <v>0</v>
      </c>
      <c r="I125" s="308"/>
      <c r="J125" s="94"/>
      <c r="K125" s="94"/>
      <c r="L125" s="94"/>
      <c r="M125" s="94">
        <f t="shared" si="47"/>
        <v>0</v>
      </c>
      <c r="N125" s="97"/>
      <c r="O125" s="97"/>
      <c r="P125" s="97"/>
      <c r="Q125" s="97"/>
      <c r="R125" s="300"/>
    </row>
    <row r="126" spans="1:18" ht="15.75" customHeight="1" x14ac:dyDescent="0.2">
      <c r="A126" s="479"/>
      <c r="B126" s="489"/>
      <c r="C126" s="350">
        <v>2025</v>
      </c>
      <c r="D126" s="346"/>
      <c r="E126" s="346"/>
      <c r="F126" s="346"/>
      <c r="G126" s="346"/>
      <c r="H126" s="351">
        <f>I126+J126+K126+L126</f>
        <v>0</v>
      </c>
      <c r="I126" s="308"/>
      <c r="J126" s="94"/>
      <c r="K126" s="94"/>
      <c r="L126" s="94"/>
      <c r="M126" s="94">
        <f t="shared" si="47"/>
        <v>0</v>
      </c>
      <c r="N126" s="97"/>
      <c r="O126" s="97"/>
      <c r="P126" s="97"/>
      <c r="Q126" s="97"/>
      <c r="R126" s="300"/>
    </row>
    <row r="127" spans="1:18" ht="18.75" customHeight="1" x14ac:dyDescent="0.2">
      <c r="A127" s="479"/>
      <c r="B127" s="490"/>
      <c r="C127" s="350" t="s">
        <v>26</v>
      </c>
      <c r="D127" s="302">
        <f>SUM(D122:D126)</f>
        <v>250</v>
      </c>
      <c r="E127" s="302">
        <f t="shared" ref="E127:G127" si="48">SUM(E122:E126)</f>
        <v>850</v>
      </c>
      <c r="F127" s="302">
        <f t="shared" si="48"/>
        <v>3.2</v>
      </c>
      <c r="G127" s="302">
        <f t="shared" si="48"/>
        <v>7</v>
      </c>
      <c r="H127" s="302">
        <f>SUM(H122:H126)</f>
        <v>45000</v>
      </c>
      <c r="I127" s="302">
        <f t="shared" ref="I127:L127" si="49">SUM(I122:I126)</f>
        <v>0</v>
      </c>
      <c r="J127" s="101">
        <f t="shared" si="49"/>
        <v>5000</v>
      </c>
      <c r="K127" s="101">
        <f t="shared" si="49"/>
        <v>40000</v>
      </c>
      <c r="L127" s="101">
        <f t="shared" si="49"/>
        <v>0</v>
      </c>
      <c r="M127" s="94">
        <f t="shared" si="47"/>
        <v>45000</v>
      </c>
      <c r="N127" s="97"/>
      <c r="O127" s="97"/>
      <c r="P127" s="97"/>
      <c r="Q127" s="97"/>
      <c r="R127" s="300"/>
    </row>
    <row r="128" spans="1:18" ht="15.75" customHeight="1" x14ac:dyDescent="0.2">
      <c r="A128" s="479">
        <v>16</v>
      </c>
      <c r="B128" s="488" t="s">
        <v>210</v>
      </c>
      <c r="C128" s="350">
        <v>2021</v>
      </c>
      <c r="D128" s="346"/>
      <c r="E128" s="346"/>
      <c r="F128" s="346"/>
      <c r="G128" s="346"/>
      <c r="H128" s="351">
        <f>I128+J128+K128+L128</f>
        <v>0</v>
      </c>
      <c r="I128" s="308"/>
      <c r="J128" s="94"/>
      <c r="K128" s="94"/>
      <c r="L128" s="94"/>
      <c r="M128" s="94">
        <f t="shared" ref="M128:M133" si="50">J128+K128+L128</f>
        <v>0</v>
      </c>
      <c r="N128" s="97"/>
      <c r="O128" s="97"/>
      <c r="P128" s="97"/>
      <c r="Q128" s="97"/>
      <c r="R128" s="319"/>
    </row>
    <row r="129" spans="1:18" ht="15.75" customHeight="1" x14ac:dyDescent="0.2">
      <c r="A129" s="479"/>
      <c r="B129" s="489"/>
      <c r="C129" s="350">
        <v>2022</v>
      </c>
      <c r="D129" s="346"/>
      <c r="E129" s="346"/>
      <c r="F129" s="346"/>
      <c r="G129" s="346"/>
      <c r="H129" s="351">
        <f>I129+J129+K129+L129</f>
        <v>0</v>
      </c>
      <c r="I129" s="308"/>
      <c r="J129" s="94"/>
      <c r="K129" s="94"/>
      <c r="L129" s="94"/>
      <c r="M129" s="94">
        <f t="shared" si="50"/>
        <v>0</v>
      </c>
      <c r="N129" s="97"/>
      <c r="O129" s="97"/>
      <c r="P129" s="97"/>
      <c r="Q129" s="97"/>
      <c r="R129" s="319"/>
    </row>
    <row r="130" spans="1:18" ht="15.75" customHeight="1" x14ac:dyDescent="0.2">
      <c r="A130" s="479"/>
      <c r="B130" s="489"/>
      <c r="C130" s="350" t="s">
        <v>39</v>
      </c>
      <c r="D130" s="346">
        <v>400</v>
      </c>
      <c r="E130" s="346">
        <v>720</v>
      </c>
      <c r="F130" s="346">
        <v>4.5</v>
      </c>
      <c r="G130" s="346">
        <v>8</v>
      </c>
      <c r="H130" s="351">
        <f>I130+J130+K130+L130</f>
        <v>7000</v>
      </c>
      <c r="I130" s="308"/>
      <c r="J130" s="94">
        <v>7000</v>
      </c>
      <c r="K130" s="94"/>
      <c r="L130" s="94"/>
      <c r="M130" s="94">
        <f t="shared" si="50"/>
        <v>7000</v>
      </c>
      <c r="N130" s="97" t="s">
        <v>28</v>
      </c>
      <c r="O130" s="97"/>
      <c r="P130" s="97"/>
      <c r="Q130" s="97"/>
      <c r="R130" s="319"/>
    </row>
    <row r="131" spans="1:18" ht="15.75" customHeight="1" x14ac:dyDescent="0.2">
      <c r="A131" s="479"/>
      <c r="B131" s="489"/>
      <c r="C131" s="350" t="s">
        <v>191</v>
      </c>
      <c r="D131" s="346"/>
      <c r="E131" s="346"/>
      <c r="F131" s="346"/>
      <c r="G131" s="346"/>
      <c r="H131" s="351">
        <f>I131+J131+K131+L131</f>
        <v>52000</v>
      </c>
      <c r="I131" s="308"/>
      <c r="J131" s="94"/>
      <c r="K131" s="94">
        <v>52000</v>
      </c>
      <c r="L131" s="94"/>
      <c r="M131" s="94">
        <f t="shared" si="50"/>
        <v>52000</v>
      </c>
      <c r="N131" s="97"/>
      <c r="O131" s="97" t="s">
        <v>52</v>
      </c>
      <c r="P131" s="97" t="s">
        <v>47</v>
      </c>
      <c r="Q131" s="97" t="s">
        <v>31</v>
      </c>
      <c r="R131" s="319"/>
    </row>
    <row r="132" spans="1:18" ht="15.75" customHeight="1" x14ac:dyDescent="0.2">
      <c r="A132" s="479"/>
      <c r="B132" s="489"/>
      <c r="C132" s="350">
        <v>2025</v>
      </c>
      <c r="D132" s="346"/>
      <c r="E132" s="346"/>
      <c r="F132" s="346"/>
      <c r="G132" s="346"/>
      <c r="H132" s="351">
        <f>I132+J132+K132+L132</f>
        <v>0</v>
      </c>
      <c r="I132" s="308"/>
      <c r="J132" s="94"/>
      <c r="K132" s="94"/>
      <c r="L132" s="94"/>
      <c r="M132" s="94">
        <f t="shared" si="50"/>
        <v>0</v>
      </c>
      <c r="N132" s="97"/>
      <c r="O132" s="97"/>
      <c r="P132" s="97"/>
      <c r="Q132" s="97"/>
      <c r="R132" s="319"/>
    </row>
    <row r="133" spans="1:18" ht="15.75" customHeight="1" x14ac:dyDescent="0.2">
      <c r="A133" s="479"/>
      <c r="B133" s="490"/>
      <c r="C133" s="350" t="s">
        <v>26</v>
      </c>
      <c r="D133" s="302">
        <f>SUM(D128:D132)</f>
        <v>400</v>
      </c>
      <c r="E133" s="302">
        <f t="shared" ref="E133:G133" si="51">SUM(E128:E132)</f>
        <v>720</v>
      </c>
      <c r="F133" s="302">
        <f t="shared" si="51"/>
        <v>4.5</v>
      </c>
      <c r="G133" s="302">
        <f t="shared" si="51"/>
        <v>8</v>
      </c>
      <c r="H133" s="302">
        <f>SUM(H128:H132)</f>
        <v>59000</v>
      </c>
      <c r="I133" s="302">
        <f t="shared" ref="I133:L133" si="52">SUM(I128:I132)</f>
        <v>0</v>
      </c>
      <c r="J133" s="101">
        <f>SUM(J128:J132)</f>
        <v>7000</v>
      </c>
      <c r="K133" s="101">
        <f t="shared" si="52"/>
        <v>52000</v>
      </c>
      <c r="L133" s="101">
        <f t="shared" si="52"/>
        <v>0</v>
      </c>
      <c r="M133" s="94">
        <f t="shared" si="50"/>
        <v>59000</v>
      </c>
      <c r="N133" s="97"/>
      <c r="O133" s="97"/>
      <c r="P133" s="97"/>
      <c r="Q133" s="97"/>
      <c r="R133" s="319"/>
    </row>
    <row r="134" spans="1:18" ht="15.75" customHeight="1" x14ac:dyDescent="0.2">
      <c r="A134" s="479">
        <v>17</v>
      </c>
      <c r="B134" s="488" t="s">
        <v>213</v>
      </c>
      <c r="C134" s="350">
        <v>2021</v>
      </c>
      <c r="D134" s="346">
        <v>30</v>
      </c>
      <c r="E134" s="346">
        <v>120</v>
      </c>
      <c r="F134" s="346">
        <v>0.3</v>
      </c>
      <c r="G134" s="346">
        <v>0.71</v>
      </c>
      <c r="H134" s="351">
        <f>I134+J134+K134+L134</f>
        <v>600</v>
      </c>
      <c r="I134" s="308"/>
      <c r="J134" s="94">
        <v>600</v>
      </c>
      <c r="K134" s="94"/>
      <c r="L134" s="94"/>
      <c r="M134" s="94">
        <f t="shared" ref="M134:M139" si="53">J134+K134+L134</f>
        <v>600</v>
      </c>
      <c r="N134" s="97" t="s">
        <v>54</v>
      </c>
      <c r="O134" s="97"/>
      <c r="P134" s="97"/>
      <c r="Q134" s="97"/>
      <c r="R134" s="324"/>
    </row>
    <row r="135" spans="1:18" ht="15.75" customHeight="1" x14ac:dyDescent="0.2">
      <c r="A135" s="479"/>
      <c r="B135" s="489"/>
      <c r="C135" s="350">
        <v>2022</v>
      </c>
      <c r="D135" s="346"/>
      <c r="E135" s="346"/>
      <c r="F135" s="346"/>
      <c r="G135" s="346"/>
      <c r="H135" s="351">
        <f>I135+J135+K135+L135</f>
        <v>2000</v>
      </c>
      <c r="I135" s="308"/>
      <c r="J135" s="94">
        <v>400</v>
      </c>
      <c r="K135" s="94">
        <v>1600</v>
      </c>
      <c r="L135" s="94"/>
      <c r="M135" s="94">
        <f t="shared" si="53"/>
        <v>2000</v>
      </c>
      <c r="N135" s="97"/>
      <c r="O135" s="97" t="s">
        <v>71</v>
      </c>
      <c r="P135" s="97" t="s">
        <v>52</v>
      </c>
      <c r="Q135" s="97" t="s">
        <v>31</v>
      </c>
      <c r="R135" s="324"/>
    </row>
    <row r="136" spans="1:18" ht="15.75" customHeight="1" x14ac:dyDescent="0.2">
      <c r="A136" s="479"/>
      <c r="B136" s="489"/>
      <c r="C136" s="350" t="s">
        <v>39</v>
      </c>
      <c r="D136" s="346"/>
      <c r="E136" s="346"/>
      <c r="F136" s="346"/>
      <c r="G136" s="346"/>
      <c r="H136" s="351">
        <f>I136+J136+K136+L136</f>
        <v>0</v>
      </c>
      <c r="I136" s="308"/>
      <c r="J136" s="94"/>
      <c r="K136" s="94"/>
      <c r="L136" s="94"/>
      <c r="M136" s="94">
        <f t="shared" si="53"/>
        <v>0</v>
      </c>
      <c r="N136" s="97"/>
      <c r="O136" s="97"/>
      <c r="P136" s="97"/>
      <c r="Q136" s="97"/>
      <c r="R136" s="324"/>
    </row>
    <row r="137" spans="1:18" ht="15.75" customHeight="1" x14ac:dyDescent="0.2">
      <c r="A137" s="479"/>
      <c r="B137" s="489"/>
      <c r="C137" s="350" t="s">
        <v>191</v>
      </c>
      <c r="D137" s="346"/>
      <c r="E137" s="346"/>
      <c r="F137" s="346"/>
      <c r="G137" s="346"/>
      <c r="H137" s="351">
        <f>I137+J137+K137+L137</f>
        <v>0</v>
      </c>
      <c r="I137" s="308"/>
      <c r="J137" s="94"/>
      <c r="K137" s="94"/>
      <c r="L137" s="94"/>
      <c r="M137" s="94">
        <f t="shared" si="53"/>
        <v>0</v>
      </c>
      <c r="N137" s="97"/>
      <c r="O137" s="97"/>
      <c r="P137" s="97"/>
      <c r="Q137" s="97"/>
      <c r="R137" s="324"/>
    </row>
    <row r="138" spans="1:18" ht="15.75" customHeight="1" x14ac:dyDescent="0.2">
      <c r="A138" s="479"/>
      <c r="B138" s="489"/>
      <c r="C138" s="350">
        <v>2025</v>
      </c>
      <c r="D138" s="346"/>
      <c r="E138" s="346"/>
      <c r="F138" s="346"/>
      <c r="G138" s="346"/>
      <c r="H138" s="351">
        <f>I138+J138+K138+L138</f>
        <v>0</v>
      </c>
      <c r="I138" s="308"/>
      <c r="J138" s="94"/>
      <c r="K138" s="94"/>
      <c r="L138" s="94"/>
      <c r="M138" s="94">
        <f t="shared" si="53"/>
        <v>0</v>
      </c>
      <c r="N138" s="97"/>
      <c r="O138" s="97"/>
      <c r="P138" s="97"/>
      <c r="Q138" s="97"/>
      <c r="R138" s="324"/>
    </row>
    <row r="139" spans="1:18" ht="15.75" customHeight="1" x14ac:dyDescent="0.2">
      <c r="A139" s="479"/>
      <c r="B139" s="490"/>
      <c r="C139" s="350" t="s">
        <v>26</v>
      </c>
      <c r="D139" s="302">
        <f>SUM(D134:D138)</f>
        <v>30</v>
      </c>
      <c r="E139" s="302">
        <f t="shared" ref="E139:G139" si="54">SUM(E134:E138)</f>
        <v>120</v>
      </c>
      <c r="F139" s="302">
        <f t="shared" si="54"/>
        <v>0.3</v>
      </c>
      <c r="G139" s="302">
        <f t="shared" si="54"/>
        <v>0.71</v>
      </c>
      <c r="H139" s="302">
        <f>SUM(H134:H138)</f>
        <v>2600</v>
      </c>
      <c r="I139" s="302">
        <f t="shared" ref="I139" si="55">SUM(I134:I138)</f>
        <v>0</v>
      </c>
      <c r="J139" s="101">
        <f>SUM(J134:J138)</f>
        <v>1000</v>
      </c>
      <c r="K139" s="101">
        <f t="shared" ref="K139:L139" si="56">SUM(K134:K138)</f>
        <v>1600</v>
      </c>
      <c r="L139" s="101">
        <f t="shared" si="56"/>
        <v>0</v>
      </c>
      <c r="M139" s="94">
        <f t="shared" si="53"/>
        <v>2600</v>
      </c>
      <c r="N139" s="97"/>
      <c r="O139" s="97"/>
      <c r="P139" s="97"/>
      <c r="Q139" s="97"/>
      <c r="R139" s="324"/>
    </row>
    <row r="140" spans="1:18" ht="15.75" customHeight="1" outlineLevel="1" x14ac:dyDescent="0.2">
      <c r="A140" s="479">
        <v>18</v>
      </c>
      <c r="B140" s="488" t="s">
        <v>219</v>
      </c>
      <c r="C140" s="350">
        <v>2021</v>
      </c>
      <c r="D140" s="346"/>
      <c r="E140" s="346"/>
      <c r="F140" s="346"/>
      <c r="G140" s="346"/>
      <c r="H140" s="351">
        <f>I140+J140+K140+L140</f>
        <v>0</v>
      </c>
      <c r="I140" s="308"/>
      <c r="J140" s="94"/>
      <c r="K140" s="94"/>
      <c r="L140" s="94"/>
      <c r="M140" s="94">
        <f t="shared" ref="M140:M145" si="57">J140+K140+L140</f>
        <v>0</v>
      </c>
      <c r="N140" s="97"/>
      <c r="O140" s="97"/>
      <c r="P140" s="97"/>
      <c r="Q140" s="97"/>
      <c r="R140" s="334"/>
    </row>
    <row r="141" spans="1:18" ht="15.75" customHeight="1" outlineLevel="1" x14ac:dyDescent="0.2">
      <c r="A141" s="479"/>
      <c r="B141" s="489"/>
      <c r="C141" s="350">
        <v>2022</v>
      </c>
      <c r="D141" s="346"/>
      <c r="E141" s="346"/>
      <c r="F141" s="346"/>
      <c r="G141" s="346"/>
      <c r="H141" s="351">
        <f>I141+J141+K141+L141</f>
        <v>0</v>
      </c>
      <c r="I141" s="308"/>
      <c r="J141" s="94"/>
      <c r="K141" s="94"/>
      <c r="L141" s="94"/>
      <c r="M141" s="94">
        <f t="shared" si="57"/>
        <v>0</v>
      </c>
      <c r="N141" s="97"/>
      <c r="O141" s="97"/>
      <c r="P141" s="97"/>
      <c r="Q141" s="97"/>
      <c r="R141" s="334"/>
    </row>
    <row r="142" spans="1:18" ht="15.75" customHeight="1" outlineLevel="1" x14ac:dyDescent="0.2">
      <c r="A142" s="479"/>
      <c r="B142" s="489"/>
      <c r="C142" s="350" t="s">
        <v>39</v>
      </c>
      <c r="D142" s="346"/>
      <c r="E142" s="346"/>
      <c r="F142" s="346"/>
      <c r="G142" s="346"/>
      <c r="H142" s="351">
        <f>I142+J142+K142+L142</f>
        <v>0</v>
      </c>
      <c r="I142" s="308"/>
      <c r="J142" s="94"/>
      <c r="K142" s="94"/>
      <c r="L142" s="94"/>
      <c r="M142" s="94">
        <f t="shared" si="57"/>
        <v>0</v>
      </c>
      <c r="N142" s="97"/>
      <c r="O142" s="97"/>
      <c r="P142" s="97"/>
      <c r="Q142" s="97"/>
      <c r="R142" s="334"/>
    </row>
    <row r="143" spans="1:18" ht="15.75" customHeight="1" outlineLevel="1" x14ac:dyDescent="0.2">
      <c r="A143" s="479"/>
      <c r="B143" s="489"/>
      <c r="C143" s="350" t="s">
        <v>191</v>
      </c>
      <c r="D143" s="346"/>
      <c r="E143" s="346"/>
      <c r="F143" s="346"/>
      <c r="G143" s="346"/>
      <c r="H143" s="351">
        <f>I143+J143+K143+L143</f>
        <v>0</v>
      </c>
      <c r="I143" s="308"/>
      <c r="J143" s="94"/>
      <c r="K143" s="94"/>
      <c r="L143" s="94"/>
      <c r="M143" s="94">
        <f t="shared" si="57"/>
        <v>0</v>
      </c>
      <c r="N143" s="97"/>
      <c r="O143" s="97"/>
      <c r="P143" s="97"/>
      <c r="Q143" s="97"/>
      <c r="R143" s="334"/>
    </row>
    <row r="144" spans="1:18" ht="15.75" customHeight="1" outlineLevel="1" x14ac:dyDescent="0.2">
      <c r="A144" s="479"/>
      <c r="B144" s="489"/>
      <c r="C144" s="350">
        <v>2025</v>
      </c>
      <c r="D144" s="346">
        <v>20</v>
      </c>
      <c r="E144" s="346">
        <v>120</v>
      </c>
      <c r="F144" s="346">
        <v>0.2</v>
      </c>
      <c r="G144" s="346">
        <v>1.7</v>
      </c>
      <c r="H144" s="351">
        <f>I144+J144+K144+L144</f>
        <v>800</v>
      </c>
      <c r="I144" s="308"/>
      <c r="J144" s="94">
        <v>800</v>
      </c>
      <c r="K144" s="94"/>
      <c r="L144" s="94"/>
      <c r="M144" s="94">
        <f t="shared" si="57"/>
        <v>800</v>
      </c>
      <c r="N144" s="97" t="s">
        <v>48</v>
      </c>
      <c r="O144" s="359">
        <v>46082</v>
      </c>
      <c r="P144" s="359">
        <v>46113</v>
      </c>
      <c r="Q144" s="359">
        <v>46296</v>
      </c>
      <c r="R144" s="334"/>
    </row>
    <row r="145" spans="1:18" ht="15.75" customHeight="1" outlineLevel="1" x14ac:dyDescent="0.2">
      <c r="A145" s="479"/>
      <c r="B145" s="490"/>
      <c r="C145" s="350" t="s">
        <v>26</v>
      </c>
      <c r="D145" s="302">
        <f>SUM(D140:D144)</f>
        <v>20</v>
      </c>
      <c r="E145" s="302">
        <f t="shared" ref="E145:G145" si="58">SUM(E140:E144)</f>
        <v>120</v>
      </c>
      <c r="F145" s="302">
        <f t="shared" si="58"/>
        <v>0.2</v>
      </c>
      <c r="G145" s="302">
        <f t="shared" si="58"/>
        <v>1.7</v>
      </c>
      <c r="H145" s="302">
        <f>SUM(H140:H144)</f>
        <v>800</v>
      </c>
      <c r="I145" s="302">
        <f t="shared" ref="I145" si="59">SUM(I140:I144)</f>
        <v>0</v>
      </c>
      <c r="J145" s="101">
        <f>SUM(J140:J144)</f>
        <v>800</v>
      </c>
      <c r="K145" s="101">
        <f t="shared" ref="K145:L145" si="60">SUM(K140:K144)</f>
        <v>0</v>
      </c>
      <c r="L145" s="101">
        <f t="shared" si="60"/>
        <v>0</v>
      </c>
      <c r="M145" s="94">
        <f t="shared" si="57"/>
        <v>800</v>
      </c>
      <c r="N145" s="97"/>
      <c r="O145" s="97"/>
      <c r="P145" s="97"/>
      <c r="Q145" s="97"/>
      <c r="R145" s="334"/>
    </row>
    <row r="146" spans="1:18" x14ac:dyDescent="0.2">
      <c r="A146" s="467" t="s">
        <v>197</v>
      </c>
      <c r="B146" s="468"/>
      <c r="C146" s="350" t="s">
        <v>25</v>
      </c>
      <c r="D146" s="376">
        <f>D116+D122+D128+D134+D140</f>
        <v>280</v>
      </c>
      <c r="E146" s="376">
        <f t="shared" ref="E146:L146" si="61">E116+E122+E128+E134+E140</f>
        <v>970</v>
      </c>
      <c r="F146" s="376">
        <f>F116+F122+F128+F134+F140</f>
        <v>3.5</v>
      </c>
      <c r="G146" s="376">
        <f t="shared" si="61"/>
        <v>7.71</v>
      </c>
      <c r="H146" s="376">
        <f t="shared" si="61"/>
        <v>4600</v>
      </c>
      <c r="I146" s="376">
        <f t="shared" si="61"/>
        <v>0</v>
      </c>
      <c r="J146" s="376">
        <f t="shared" si="61"/>
        <v>4600</v>
      </c>
      <c r="K146" s="376">
        <f t="shared" si="61"/>
        <v>0</v>
      </c>
      <c r="L146" s="376">
        <f t="shared" si="61"/>
        <v>0</v>
      </c>
      <c r="M146" s="376">
        <f>SUM(J146:L146)</f>
        <v>4600</v>
      </c>
      <c r="N146" s="97"/>
      <c r="O146" s="97"/>
      <c r="P146" s="97"/>
      <c r="Q146" s="97"/>
      <c r="R146" s="466"/>
    </row>
    <row r="147" spans="1:18" x14ac:dyDescent="0.2">
      <c r="A147" s="469"/>
      <c r="B147" s="470"/>
      <c r="C147" s="350">
        <v>2022</v>
      </c>
      <c r="D147" s="376">
        <f t="shared" ref="D147:L147" si="62">D117+D123+D129+D135+D141</f>
        <v>125</v>
      </c>
      <c r="E147" s="376">
        <f t="shared" si="62"/>
        <v>202.8</v>
      </c>
      <c r="F147" s="376">
        <f t="shared" si="62"/>
        <v>1.01</v>
      </c>
      <c r="G147" s="376">
        <f t="shared" si="62"/>
        <v>4.5</v>
      </c>
      <c r="H147" s="376">
        <f t="shared" si="62"/>
        <v>46000</v>
      </c>
      <c r="I147" s="376">
        <f t="shared" si="62"/>
        <v>0</v>
      </c>
      <c r="J147" s="376">
        <f t="shared" si="62"/>
        <v>4400</v>
      </c>
      <c r="K147" s="376">
        <f t="shared" si="62"/>
        <v>41600</v>
      </c>
      <c r="L147" s="376">
        <f t="shared" si="62"/>
        <v>0</v>
      </c>
      <c r="M147" s="376">
        <f>SUM(J147:L147)</f>
        <v>46000</v>
      </c>
      <c r="N147" s="97"/>
      <c r="O147" s="97"/>
      <c r="P147" s="97"/>
      <c r="Q147" s="97"/>
      <c r="R147" s="466"/>
    </row>
    <row r="148" spans="1:18" x14ac:dyDescent="0.2">
      <c r="A148" s="469"/>
      <c r="B148" s="470"/>
      <c r="C148" s="350" t="s">
        <v>39</v>
      </c>
      <c r="D148" s="376">
        <f t="shared" ref="D148:L148" si="63">D118+D124+D130+D136+D142</f>
        <v>400</v>
      </c>
      <c r="E148" s="376">
        <f t="shared" si="63"/>
        <v>720</v>
      </c>
      <c r="F148" s="376">
        <f t="shared" si="63"/>
        <v>4.5</v>
      </c>
      <c r="G148" s="376">
        <f t="shared" si="63"/>
        <v>8</v>
      </c>
      <c r="H148" s="376">
        <f t="shared" si="63"/>
        <v>42000</v>
      </c>
      <c r="I148" s="376">
        <f t="shared" si="63"/>
        <v>0</v>
      </c>
      <c r="J148" s="376">
        <f t="shared" si="63"/>
        <v>7000</v>
      </c>
      <c r="K148" s="376">
        <f t="shared" si="63"/>
        <v>35000</v>
      </c>
      <c r="L148" s="376">
        <f t="shared" si="63"/>
        <v>0</v>
      </c>
      <c r="M148" s="376">
        <f>SUM(J148:L148)</f>
        <v>42000</v>
      </c>
      <c r="N148" s="97"/>
      <c r="O148" s="97"/>
      <c r="P148" s="97"/>
      <c r="Q148" s="97"/>
      <c r="R148" s="466"/>
    </row>
    <row r="149" spans="1:18" x14ac:dyDescent="0.2">
      <c r="A149" s="469"/>
      <c r="B149" s="470"/>
      <c r="C149" s="350" t="s">
        <v>191</v>
      </c>
      <c r="D149" s="376">
        <f t="shared" ref="D149:L149" si="64">D119+D125+D131+D137+D143</f>
        <v>0</v>
      </c>
      <c r="E149" s="376">
        <f t="shared" si="64"/>
        <v>0</v>
      </c>
      <c r="F149" s="376">
        <f t="shared" si="64"/>
        <v>0</v>
      </c>
      <c r="G149" s="376">
        <f t="shared" si="64"/>
        <v>0</v>
      </c>
      <c r="H149" s="376">
        <f t="shared" si="64"/>
        <v>52000</v>
      </c>
      <c r="I149" s="376">
        <f t="shared" si="64"/>
        <v>0</v>
      </c>
      <c r="J149" s="376">
        <f t="shared" si="64"/>
        <v>0</v>
      </c>
      <c r="K149" s="376">
        <f t="shared" si="64"/>
        <v>52000</v>
      </c>
      <c r="L149" s="376">
        <f t="shared" si="64"/>
        <v>0</v>
      </c>
      <c r="M149" s="376">
        <f>SUM(J149:L149)</f>
        <v>52000</v>
      </c>
      <c r="N149" s="97"/>
      <c r="O149" s="97"/>
      <c r="P149" s="97"/>
      <c r="Q149" s="97"/>
      <c r="R149" s="466"/>
    </row>
    <row r="150" spans="1:18" x14ac:dyDescent="0.2">
      <c r="A150" s="469"/>
      <c r="B150" s="470"/>
      <c r="C150" s="350">
        <v>2025</v>
      </c>
      <c r="D150" s="376">
        <f t="shared" ref="D150:L150" si="65">D120+D126+D132+D138+D144</f>
        <v>20</v>
      </c>
      <c r="E150" s="376">
        <f t="shared" si="65"/>
        <v>120</v>
      </c>
      <c r="F150" s="376">
        <f t="shared" si="65"/>
        <v>0.2</v>
      </c>
      <c r="G150" s="376">
        <f t="shared" si="65"/>
        <v>1.7</v>
      </c>
      <c r="H150" s="376">
        <f t="shared" si="65"/>
        <v>800</v>
      </c>
      <c r="I150" s="376">
        <f t="shared" si="65"/>
        <v>0</v>
      </c>
      <c r="J150" s="376">
        <f t="shared" si="65"/>
        <v>800</v>
      </c>
      <c r="K150" s="376">
        <f t="shared" si="65"/>
        <v>0</v>
      </c>
      <c r="L150" s="376">
        <f t="shared" si="65"/>
        <v>0</v>
      </c>
      <c r="M150" s="376">
        <f>SUM(J150:L150)</f>
        <v>800</v>
      </c>
      <c r="N150" s="97"/>
      <c r="O150" s="97"/>
      <c r="P150" s="97"/>
      <c r="Q150" s="97"/>
      <c r="R150" s="466"/>
    </row>
    <row r="151" spans="1:18" x14ac:dyDescent="0.2">
      <c r="A151" s="471"/>
      <c r="B151" s="472"/>
      <c r="C151" s="350" t="s">
        <v>12</v>
      </c>
      <c r="D151" s="376">
        <f>SUM(D146:D150)</f>
        <v>825</v>
      </c>
      <c r="E151" s="376">
        <f>SUM(E146:E150)</f>
        <v>2012.8</v>
      </c>
      <c r="F151" s="376">
        <f t="shared" ref="F151:J151" si="66">SUM(F146:F150)</f>
        <v>9.2099999999999991</v>
      </c>
      <c r="G151" s="376">
        <f t="shared" si="66"/>
        <v>21.91</v>
      </c>
      <c r="H151" s="376">
        <f t="shared" si="66"/>
        <v>145400</v>
      </c>
      <c r="I151" s="376">
        <f t="shared" si="66"/>
        <v>0</v>
      </c>
      <c r="J151" s="376">
        <f t="shared" si="66"/>
        <v>16800</v>
      </c>
      <c r="K151" s="376">
        <f>SUM(K146:K150)</f>
        <v>128600</v>
      </c>
      <c r="L151" s="376">
        <f>SUM(L146:L150)</f>
        <v>0</v>
      </c>
      <c r="M151" s="376">
        <f>SUM(M146:M150)</f>
        <v>145400</v>
      </c>
      <c r="N151" s="97"/>
      <c r="O151" s="97"/>
      <c r="P151" s="97"/>
      <c r="Q151" s="97"/>
      <c r="R151" s="466"/>
    </row>
    <row r="152" spans="1:18" ht="15" customHeight="1" x14ac:dyDescent="0.2">
      <c r="A152" s="473" t="s">
        <v>7</v>
      </c>
      <c r="B152" s="474"/>
      <c r="C152" s="7"/>
      <c r="D152" s="10"/>
      <c r="E152" s="346"/>
      <c r="F152" s="10"/>
      <c r="G152" s="10"/>
      <c r="H152" s="7"/>
      <c r="I152" s="7"/>
      <c r="J152" s="17"/>
      <c r="K152" s="17"/>
      <c r="L152" s="17"/>
      <c r="M152" s="17"/>
      <c r="N152" s="7"/>
      <c r="O152" s="7"/>
      <c r="P152" s="7"/>
      <c r="Q152" s="7"/>
    </row>
    <row r="153" spans="1:18" ht="15" customHeight="1" x14ac:dyDescent="0.2">
      <c r="A153" s="498">
        <v>19</v>
      </c>
      <c r="B153" s="488" t="s">
        <v>217</v>
      </c>
      <c r="C153" s="350">
        <v>2021</v>
      </c>
      <c r="D153" s="10"/>
      <c r="E153" s="346"/>
      <c r="F153" s="10"/>
      <c r="G153" s="10"/>
      <c r="H153" s="305">
        <f>I153+J153+K153+L153</f>
        <v>0</v>
      </c>
      <c r="I153" s="7"/>
      <c r="J153" s="17"/>
      <c r="K153" s="17"/>
      <c r="L153" s="17"/>
      <c r="M153" s="94">
        <f>J153+K153+L153</f>
        <v>0</v>
      </c>
      <c r="N153" s="7"/>
      <c r="O153" s="7"/>
      <c r="P153" s="7"/>
      <c r="Q153" s="7"/>
    </row>
    <row r="154" spans="1:18" ht="15" customHeight="1" x14ac:dyDescent="0.2">
      <c r="A154" s="499"/>
      <c r="B154" s="489"/>
      <c r="C154" s="350">
        <v>2022</v>
      </c>
      <c r="D154" s="10"/>
      <c r="E154" s="346"/>
      <c r="F154" s="10"/>
      <c r="G154" s="10"/>
      <c r="H154" s="305">
        <f t="shared" ref="H154:H157" si="67">I154+J154+K154+L154</f>
        <v>0</v>
      </c>
      <c r="I154" s="7"/>
      <c r="J154" s="17"/>
      <c r="K154" s="17"/>
      <c r="L154" s="17"/>
      <c r="M154" s="94">
        <f t="shared" ref="M154:M157" si="68">J154+K154+L154</f>
        <v>0</v>
      </c>
      <c r="N154" s="7"/>
      <c r="O154" s="7"/>
      <c r="P154" s="7"/>
      <c r="Q154" s="7"/>
    </row>
    <row r="155" spans="1:18" ht="15" customHeight="1" x14ac:dyDescent="0.2">
      <c r="A155" s="499"/>
      <c r="B155" s="489"/>
      <c r="C155" s="350" t="s">
        <v>39</v>
      </c>
      <c r="D155" s="10"/>
      <c r="E155" s="346"/>
      <c r="F155" s="10"/>
      <c r="G155" s="10"/>
      <c r="H155" s="305">
        <f t="shared" si="67"/>
        <v>0</v>
      </c>
      <c r="I155" s="7"/>
      <c r="J155" s="377"/>
      <c r="K155" s="377"/>
      <c r="L155" s="17"/>
      <c r="M155" s="94">
        <f t="shared" si="68"/>
        <v>0</v>
      </c>
      <c r="N155" s="7"/>
      <c r="O155" s="7"/>
      <c r="P155" s="7"/>
      <c r="Q155" s="7"/>
    </row>
    <row r="156" spans="1:18" ht="15" customHeight="1" x14ac:dyDescent="0.2">
      <c r="A156" s="499"/>
      <c r="B156" s="489"/>
      <c r="C156" s="350" t="s">
        <v>191</v>
      </c>
      <c r="D156" s="346">
        <v>60</v>
      </c>
      <c r="E156" s="346">
        <v>140</v>
      </c>
      <c r="F156" s="346">
        <v>0.3</v>
      </c>
      <c r="G156" s="346">
        <v>3.9</v>
      </c>
      <c r="H156" s="305">
        <f t="shared" si="67"/>
        <v>3000</v>
      </c>
      <c r="I156" s="7"/>
      <c r="J156" s="101">
        <v>3000</v>
      </c>
      <c r="K156" s="377"/>
      <c r="L156" s="17"/>
      <c r="M156" s="94">
        <f t="shared" si="68"/>
        <v>3000</v>
      </c>
      <c r="N156" s="97" t="s">
        <v>46</v>
      </c>
      <c r="O156" s="97" t="s">
        <v>31</v>
      </c>
      <c r="P156" s="97"/>
      <c r="Q156" s="97"/>
    </row>
    <row r="157" spans="1:18" ht="15" customHeight="1" x14ac:dyDescent="0.2">
      <c r="A157" s="499"/>
      <c r="B157" s="489"/>
      <c r="C157" s="350">
        <v>2025</v>
      </c>
      <c r="D157" s="10"/>
      <c r="E157" s="346"/>
      <c r="F157" s="10"/>
      <c r="G157" s="10"/>
      <c r="H157" s="305">
        <f t="shared" si="67"/>
        <v>15000</v>
      </c>
      <c r="I157" s="7"/>
      <c r="J157" s="377"/>
      <c r="K157" s="101">
        <v>15000</v>
      </c>
      <c r="L157" s="17"/>
      <c r="M157" s="94">
        <f t="shared" si="68"/>
        <v>15000</v>
      </c>
      <c r="N157" s="7"/>
      <c r="O157" s="7"/>
      <c r="P157" s="97" t="s">
        <v>71</v>
      </c>
      <c r="Q157" s="97" t="s">
        <v>51</v>
      </c>
    </row>
    <row r="158" spans="1:18" ht="15" customHeight="1" x14ac:dyDescent="0.2">
      <c r="A158" s="500"/>
      <c r="B158" s="490"/>
      <c r="C158" s="350" t="s">
        <v>26</v>
      </c>
      <c r="D158" s="346">
        <f>SUM(D153:D157)</f>
        <v>60</v>
      </c>
      <c r="E158" s="346">
        <f t="shared" ref="E158:M158" si="69">SUM(E153:E157)</f>
        <v>140</v>
      </c>
      <c r="F158" s="346">
        <f t="shared" si="69"/>
        <v>0.3</v>
      </c>
      <c r="G158" s="346">
        <f t="shared" si="69"/>
        <v>3.9</v>
      </c>
      <c r="H158" s="346">
        <f t="shared" si="69"/>
        <v>18000</v>
      </c>
      <c r="I158" s="346">
        <f t="shared" si="69"/>
        <v>0</v>
      </c>
      <c r="J158" s="302">
        <f t="shared" si="69"/>
        <v>3000</v>
      </c>
      <c r="K158" s="302">
        <f t="shared" si="69"/>
        <v>15000</v>
      </c>
      <c r="L158" s="346">
        <f t="shared" si="69"/>
        <v>0</v>
      </c>
      <c r="M158" s="346">
        <f t="shared" si="69"/>
        <v>18000</v>
      </c>
      <c r="N158" s="7"/>
      <c r="O158" s="7"/>
      <c r="P158" s="97"/>
      <c r="Q158" s="97"/>
    </row>
    <row r="159" spans="1:18" ht="14.25" customHeight="1" x14ac:dyDescent="0.2">
      <c r="A159" s="498">
        <v>20</v>
      </c>
      <c r="B159" s="504" t="s">
        <v>77</v>
      </c>
      <c r="C159" s="350">
        <v>2021</v>
      </c>
      <c r="D159" s="346">
        <v>168</v>
      </c>
      <c r="E159" s="346">
        <v>652.73</v>
      </c>
      <c r="F159" s="346">
        <v>1</v>
      </c>
      <c r="G159" s="302">
        <v>4.43</v>
      </c>
      <c r="H159" s="305">
        <v>13737.08</v>
      </c>
      <c r="I159" s="302">
        <v>1581.557</v>
      </c>
      <c r="J159" s="101"/>
      <c r="K159" s="101">
        <v>11526.67</v>
      </c>
      <c r="L159" s="101"/>
      <c r="M159" s="94">
        <f t="shared" ref="M159:M188" si="70">J159+K159+L159</f>
        <v>11526.67</v>
      </c>
      <c r="N159" s="359">
        <v>43831</v>
      </c>
      <c r="O159" s="359">
        <v>44166</v>
      </c>
      <c r="P159" s="97" t="s">
        <v>28</v>
      </c>
      <c r="Q159" s="97" t="s">
        <v>49</v>
      </c>
      <c r="R159" s="466"/>
    </row>
    <row r="160" spans="1:18" ht="14.25" customHeight="1" x14ac:dyDescent="0.2">
      <c r="A160" s="499"/>
      <c r="B160" s="505"/>
      <c r="C160" s="350">
        <v>2022</v>
      </c>
      <c r="D160" s="346"/>
      <c r="E160" s="346"/>
      <c r="F160" s="346"/>
      <c r="G160" s="302"/>
      <c r="H160" s="305">
        <f>SUM(J160:L160)</f>
        <v>0</v>
      </c>
      <c r="I160" s="302"/>
      <c r="J160" s="101"/>
      <c r="K160" s="101"/>
      <c r="L160" s="101"/>
      <c r="M160" s="94">
        <f t="shared" si="70"/>
        <v>0</v>
      </c>
      <c r="N160" s="97"/>
      <c r="O160" s="97"/>
      <c r="P160" s="97"/>
      <c r="Q160" s="97"/>
      <c r="R160" s="466"/>
    </row>
    <row r="161" spans="1:18" ht="14.25" customHeight="1" x14ac:dyDescent="0.2">
      <c r="A161" s="499"/>
      <c r="B161" s="505"/>
      <c r="C161" s="350" t="s">
        <v>39</v>
      </c>
      <c r="D161" s="346"/>
      <c r="E161" s="346"/>
      <c r="F161" s="346"/>
      <c r="G161" s="302"/>
      <c r="H161" s="305">
        <f>SUM(J161:L161)</f>
        <v>0</v>
      </c>
      <c r="I161" s="302"/>
      <c r="J161" s="101"/>
      <c r="K161" s="101"/>
      <c r="L161" s="101"/>
      <c r="M161" s="94">
        <f t="shared" si="70"/>
        <v>0</v>
      </c>
      <c r="N161" s="97"/>
      <c r="O161" s="97"/>
      <c r="P161" s="97"/>
      <c r="Q161" s="97"/>
      <c r="R161" s="466"/>
    </row>
    <row r="162" spans="1:18" ht="14.25" customHeight="1" x14ac:dyDescent="0.2">
      <c r="A162" s="499"/>
      <c r="B162" s="505"/>
      <c r="C162" s="350" t="s">
        <v>191</v>
      </c>
      <c r="D162" s="346"/>
      <c r="E162" s="346"/>
      <c r="F162" s="346"/>
      <c r="G162" s="302"/>
      <c r="H162" s="305">
        <f>SUM(J162:L162)</f>
        <v>0</v>
      </c>
      <c r="I162" s="302"/>
      <c r="J162" s="101"/>
      <c r="K162" s="101"/>
      <c r="L162" s="101"/>
      <c r="M162" s="94">
        <f t="shared" si="70"/>
        <v>0</v>
      </c>
      <c r="N162" s="97"/>
      <c r="O162" s="97"/>
      <c r="P162" s="97"/>
      <c r="Q162" s="97"/>
      <c r="R162" s="466"/>
    </row>
    <row r="163" spans="1:18" ht="14.25" customHeight="1" x14ac:dyDescent="0.2">
      <c r="A163" s="499"/>
      <c r="B163" s="505"/>
      <c r="C163" s="350">
        <v>2025</v>
      </c>
      <c r="D163" s="346"/>
      <c r="E163" s="346"/>
      <c r="F163" s="346"/>
      <c r="G163" s="302"/>
      <c r="H163" s="305">
        <f>SUM(J163:L163)</f>
        <v>0</v>
      </c>
      <c r="I163" s="302"/>
      <c r="J163" s="101"/>
      <c r="K163" s="101"/>
      <c r="L163" s="101"/>
      <c r="M163" s="94">
        <f t="shared" si="70"/>
        <v>0</v>
      </c>
      <c r="N163" s="97"/>
      <c r="O163" s="97"/>
      <c r="P163" s="97"/>
      <c r="Q163" s="97"/>
      <c r="R163" s="466"/>
    </row>
    <row r="164" spans="1:18" ht="14.25" customHeight="1" x14ac:dyDescent="0.2">
      <c r="A164" s="500"/>
      <c r="B164" s="506"/>
      <c r="C164" s="350" t="s">
        <v>26</v>
      </c>
      <c r="D164" s="346">
        <f>SUM(D159:D163)</f>
        <v>168</v>
      </c>
      <c r="E164" s="346">
        <f t="shared" ref="E164:L164" si="71">SUM(E159:E163)</f>
        <v>652.73</v>
      </c>
      <c r="F164" s="346">
        <f t="shared" si="71"/>
        <v>1</v>
      </c>
      <c r="G164" s="346">
        <f t="shared" si="71"/>
        <v>4.43</v>
      </c>
      <c r="H164" s="302">
        <f>SUM(H159:H163)</f>
        <v>13737.08</v>
      </c>
      <c r="I164" s="376">
        <f>SUM(I159:I163)</f>
        <v>1581.557</v>
      </c>
      <c r="J164" s="346">
        <f t="shared" si="71"/>
        <v>0</v>
      </c>
      <c r="K164" s="376">
        <f>SUM(K159:K163)</f>
        <v>11526.67</v>
      </c>
      <c r="L164" s="346">
        <f t="shared" si="71"/>
        <v>0</v>
      </c>
      <c r="M164" s="94">
        <f t="shared" si="70"/>
        <v>11526.67</v>
      </c>
      <c r="N164" s="97"/>
      <c r="O164" s="97"/>
      <c r="P164" s="97"/>
      <c r="Q164" s="97"/>
      <c r="R164" s="466"/>
    </row>
    <row r="165" spans="1:18" ht="15" customHeight="1" x14ac:dyDescent="0.2">
      <c r="A165" s="498">
        <v>21</v>
      </c>
      <c r="B165" s="504" t="s">
        <v>69</v>
      </c>
      <c r="C165" s="350" t="s">
        <v>25</v>
      </c>
      <c r="D165" s="346"/>
      <c r="E165" s="346"/>
      <c r="F165" s="346"/>
      <c r="G165" s="302"/>
      <c r="H165" s="305">
        <f>SUM(J165:L165)</f>
        <v>0</v>
      </c>
      <c r="I165" s="302"/>
      <c r="J165" s="101"/>
      <c r="K165" s="101"/>
      <c r="L165" s="101"/>
      <c r="M165" s="94">
        <f t="shared" si="70"/>
        <v>0</v>
      </c>
      <c r="N165" s="97"/>
      <c r="O165" s="97"/>
      <c r="P165" s="97"/>
      <c r="Q165" s="97"/>
      <c r="R165" s="466"/>
    </row>
    <row r="166" spans="1:18" ht="15" customHeight="1" x14ac:dyDescent="0.2">
      <c r="A166" s="499"/>
      <c r="B166" s="505"/>
      <c r="C166" s="350">
        <v>2022</v>
      </c>
      <c r="D166" s="346"/>
      <c r="E166" s="346"/>
      <c r="F166" s="346"/>
      <c r="G166" s="302"/>
      <c r="H166" s="305">
        <f>SUM(J166:L166)</f>
        <v>0</v>
      </c>
      <c r="I166" s="302"/>
      <c r="J166" s="101"/>
      <c r="K166" s="101"/>
      <c r="L166" s="101"/>
      <c r="M166" s="94">
        <f t="shared" si="70"/>
        <v>0</v>
      </c>
      <c r="N166" s="97"/>
      <c r="O166" s="97"/>
      <c r="P166" s="97"/>
      <c r="Q166" s="97"/>
      <c r="R166" s="466"/>
    </row>
    <row r="167" spans="1:18" ht="15" customHeight="1" x14ac:dyDescent="0.2">
      <c r="A167" s="499"/>
      <c r="B167" s="505"/>
      <c r="C167" s="350" t="s">
        <v>39</v>
      </c>
      <c r="D167" s="346"/>
      <c r="E167" s="346"/>
      <c r="F167" s="346"/>
      <c r="G167" s="302"/>
      <c r="H167" s="305">
        <f>SUM(J167:L167)</f>
        <v>0</v>
      </c>
      <c r="I167" s="302"/>
      <c r="J167" s="101"/>
      <c r="K167" s="101"/>
      <c r="L167" s="101"/>
      <c r="M167" s="94">
        <f t="shared" si="70"/>
        <v>0</v>
      </c>
      <c r="N167" s="97"/>
      <c r="O167" s="97"/>
      <c r="P167" s="97"/>
      <c r="Q167" s="97"/>
      <c r="R167" s="466"/>
    </row>
    <row r="168" spans="1:18" ht="15" customHeight="1" x14ac:dyDescent="0.2">
      <c r="A168" s="499"/>
      <c r="B168" s="505"/>
      <c r="C168" s="350" t="s">
        <v>191</v>
      </c>
      <c r="D168" s="346">
        <v>28</v>
      </c>
      <c r="E168" s="346">
        <v>39.261000000000003</v>
      </c>
      <c r="F168" s="346">
        <v>9.1899999999999996E-2</v>
      </c>
      <c r="G168" s="302">
        <v>2</v>
      </c>
      <c r="H168" s="305">
        <f>SUM(J168:L168)</f>
        <v>3000</v>
      </c>
      <c r="I168" s="302"/>
      <c r="J168" s="101">
        <v>3000</v>
      </c>
      <c r="K168" s="101"/>
      <c r="L168" s="101"/>
      <c r="M168" s="94">
        <f t="shared" si="70"/>
        <v>3000</v>
      </c>
      <c r="N168" s="97" t="s">
        <v>28</v>
      </c>
      <c r="O168" s="97" t="s">
        <v>31</v>
      </c>
      <c r="P168" s="97"/>
      <c r="Q168" s="97"/>
      <c r="R168" s="466"/>
    </row>
    <row r="169" spans="1:18" ht="15" customHeight="1" x14ac:dyDescent="0.2">
      <c r="A169" s="499"/>
      <c r="B169" s="505"/>
      <c r="C169" s="350">
        <v>2025</v>
      </c>
      <c r="D169" s="346"/>
      <c r="E169" s="346"/>
      <c r="F169" s="346"/>
      <c r="G169" s="302"/>
      <c r="H169" s="305">
        <f>SUM(J169:L169)</f>
        <v>8000</v>
      </c>
      <c r="I169" s="302"/>
      <c r="J169" s="101"/>
      <c r="K169" s="101">
        <v>8000</v>
      </c>
      <c r="L169" s="101"/>
      <c r="M169" s="94">
        <f t="shared" si="70"/>
        <v>8000</v>
      </c>
      <c r="N169" s="97"/>
      <c r="O169" s="97"/>
      <c r="P169" s="97" t="s">
        <v>28</v>
      </c>
      <c r="Q169" s="97" t="s">
        <v>53</v>
      </c>
      <c r="R169" s="466"/>
    </row>
    <row r="170" spans="1:18" ht="15" customHeight="1" x14ac:dyDescent="0.2">
      <c r="A170" s="500"/>
      <c r="B170" s="506"/>
      <c r="C170" s="350" t="s">
        <v>26</v>
      </c>
      <c r="D170" s="346">
        <f>SUM(D165:D169)</f>
        <v>28</v>
      </c>
      <c r="E170" s="346">
        <f t="shared" ref="E170:L170" si="72">SUM(E165:E169)</f>
        <v>39.261000000000003</v>
      </c>
      <c r="F170" s="346">
        <f t="shared" si="72"/>
        <v>9.1899999999999996E-2</v>
      </c>
      <c r="G170" s="302">
        <f t="shared" si="72"/>
        <v>2</v>
      </c>
      <c r="H170" s="302">
        <f t="shared" si="72"/>
        <v>11000</v>
      </c>
      <c r="I170" s="302">
        <f t="shared" si="72"/>
        <v>0</v>
      </c>
      <c r="J170" s="101">
        <f t="shared" si="72"/>
        <v>3000</v>
      </c>
      <c r="K170" s="101">
        <f t="shared" si="72"/>
        <v>8000</v>
      </c>
      <c r="L170" s="101">
        <f t="shared" si="72"/>
        <v>0</v>
      </c>
      <c r="M170" s="101">
        <f t="shared" si="70"/>
        <v>11000</v>
      </c>
      <c r="N170" s="97"/>
      <c r="O170" s="97"/>
      <c r="P170" s="97"/>
      <c r="Q170" s="97"/>
      <c r="R170" s="466"/>
    </row>
    <row r="171" spans="1:18" ht="15" customHeight="1" x14ac:dyDescent="0.2">
      <c r="A171" s="498">
        <v>22</v>
      </c>
      <c r="B171" s="504" t="s">
        <v>78</v>
      </c>
      <c r="C171" s="350">
        <v>2021</v>
      </c>
      <c r="D171" s="346"/>
      <c r="E171" s="346"/>
      <c r="F171" s="346"/>
      <c r="G171" s="302"/>
      <c r="H171" s="305">
        <f>SUM(J171:L171)</f>
        <v>0</v>
      </c>
      <c r="I171" s="302"/>
      <c r="J171" s="101"/>
      <c r="K171" s="101"/>
      <c r="L171" s="101"/>
      <c r="M171" s="94">
        <f t="shared" si="70"/>
        <v>0</v>
      </c>
      <c r="N171" s="97"/>
      <c r="O171" s="97"/>
      <c r="P171" s="97"/>
      <c r="Q171" s="97"/>
      <c r="R171" s="466"/>
    </row>
    <row r="172" spans="1:18" ht="15" customHeight="1" x14ac:dyDescent="0.2">
      <c r="A172" s="499"/>
      <c r="B172" s="505"/>
      <c r="C172" s="350">
        <v>2022</v>
      </c>
      <c r="D172" s="346"/>
      <c r="E172" s="346"/>
      <c r="F172" s="346"/>
      <c r="G172" s="302"/>
      <c r="H172" s="305">
        <f>SUM(J172:L172)</f>
        <v>0</v>
      </c>
      <c r="I172" s="302"/>
      <c r="J172" s="101"/>
      <c r="K172" s="101"/>
      <c r="L172" s="101"/>
      <c r="M172" s="94">
        <f t="shared" si="70"/>
        <v>0</v>
      </c>
      <c r="N172" s="97"/>
      <c r="O172" s="97"/>
      <c r="P172" s="97"/>
      <c r="Q172" s="97"/>
      <c r="R172" s="466"/>
    </row>
    <row r="173" spans="1:18" ht="15" customHeight="1" x14ac:dyDescent="0.2">
      <c r="A173" s="499"/>
      <c r="B173" s="505"/>
      <c r="C173" s="350" t="s">
        <v>39</v>
      </c>
      <c r="D173" s="346"/>
      <c r="E173" s="346"/>
      <c r="F173" s="346"/>
      <c r="G173" s="302"/>
      <c r="H173" s="305">
        <f>SUM(J173:L173)</f>
        <v>0</v>
      </c>
      <c r="I173" s="302"/>
      <c r="J173" s="101"/>
      <c r="K173" s="101"/>
      <c r="L173" s="101"/>
      <c r="M173" s="94">
        <f t="shared" si="70"/>
        <v>0</v>
      </c>
      <c r="N173" s="97"/>
      <c r="O173" s="97"/>
      <c r="P173" s="97"/>
      <c r="Q173" s="97"/>
      <c r="R173" s="466"/>
    </row>
    <row r="174" spans="1:18" ht="15" customHeight="1" x14ac:dyDescent="0.2">
      <c r="A174" s="499"/>
      <c r="B174" s="505"/>
      <c r="C174" s="350" t="s">
        <v>191</v>
      </c>
      <c r="D174" s="346">
        <v>150</v>
      </c>
      <c r="E174" s="346">
        <v>208.57</v>
      </c>
      <c r="F174" s="346">
        <v>0.42</v>
      </c>
      <c r="G174" s="302">
        <v>8.5</v>
      </c>
      <c r="H174" s="305">
        <f>SUM(J174:L174)</f>
        <v>10500</v>
      </c>
      <c r="I174" s="302"/>
      <c r="J174" s="101">
        <v>10500</v>
      </c>
      <c r="K174" s="101"/>
      <c r="L174" s="101"/>
      <c r="M174" s="94">
        <f t="shared" si="70"/>
        <v>10500</v>
      </c>
      <c r="N174" s="97" t="s">
        <v>28</v>
      </c>
      <c r="O174" s="97" t="s">
        <v>31</v>
      </c>
      <c r="P174" s="97"/>
      <c r="Q174" s="97"/>
      <c r="R174" s="466"/>
    </row>
    <row r="175" spans="1:18" ht="15" customHeight="1" x14ac:dyDescent="0.2">
      <c r="A175" s="499"/>
      <c r="B175" s="505"/>
      <c r="C175" s="350">
        <v>2025</v>
      </c>
      <c r="D175" s="346"/>
      <c r="E175" s="346"/>
      <c r="F175" s="346"/>
      <c r="G175" s="302"/>
      <c r="H175" s="305">
        <f>SUM(J175:L175)</f>
        <v>50000</v>
      </c>
      <c r="I175" s="302"/>
      <c r="J175" s="101"/>
      <c r="K175" s="101">
        <v>50000</v>
      </c>
      <c r="L175" s="101"/>
      <c r="M175" s="94">
        <f t="shared" si="70"/>
        <v>50000</v>
      </c>
      <c r="N175" s="97"/>
      <c r="O175" s="97"/>
      <c r="P175" s="97" t="s">
        <v>28</v>
      </c>
      <c r="Q175" s="97" t="s">
        <v>53</v>
      </c>
      <c r="R175" s="466"/>
    </row>
    <row r="176" spans="1:18" ht="15" customHeight="1" x14ac:dyDescent="0.2">
      <c r="A176" s="500"/>
      <c r="B176" s="506"/>
      <c r="C176" s="350" t="s">
        <v>26</v>
      </c>
      <c r="D176" s="346">
        <f t="shared" ref="D176:L176" si="73">SUM(D171:D175)</f>
        <v>150</v>
      </c>
      <c r="E176" s="346">
        <f t="shared" si="73"/>
        <v>208.57</v>
      </c>
      <c r="F176" s="346">
        <f t="shared" si="73"/>
        <v>0.42</v>
      </c>
      <c r="G176" s="302">
        <f t="shared" si="73"/>
        <v>8.5</v>
      </c>
      <c r="H176" s="302">
        <f t="shared" si="73"/>
        <v>60500</v>
      </c>
      <c r="I176" s="302">
        <f t="shared" si="73"/>
        <v>0</v>
      </c>
      <c r="J176" s="101">
        <f t="shared" si="73"/>
        <v>10500</v>
      </c>
      <c r="K176" s="101">
        <f t="shared" si="73"/>
        <v>50000</v>
      </c>
      <c r="L176" s="101">
        <f t="shared" si="73"/>
        <v>0</v>
      </c>
      <c r="M176" s="101">
        <f t="shared" si="70"/>
        <v>60500</v>
      </c>
      <c r="N176" s="97"/>
      <c r="O176" s="97"/>
      <c r="P176" s="97"/>
      <c r="Q176" s="97"/>
      <c r="R176" s="466"/>
    </row>
    <row r="177" spans="1:18" x14ac:dyDescent="0.2">
      <c r="A177" s="464">
        <v>23</v>
      </c>
      <c r="B177" s="507" t="s">
        <v>63</v>
      </c>
      <c r="C177" s="350">
        <v>2021</v>
      </c>
      <c r="D177" s="346">
        <v>1031</v>
      </c>
      <c r="E177" s="346">
        <v>3601.51</v>
      </c>
      <c r="F177" s="346">
        <v>6.27</v>
      </c>
      <c r="G177" s="346">
        <v>19.716999999999999</v>
      </c>
      <c r="H177" s="305">
        <f>I177+J177+K177+L177</f>
        <v>44362.69</v>
      </c>
      <c r="I177" s="378">
        <v>43139.27</v>
      </c>
      <c r="J177" s="295"/>
      <c r="K177" s="295">
        <f>44362.69-I177</f>
        <v>1223.4200000000055</v>
      </c>
      <c r="L177" s="295"/>
      <c r="M177" s="94">
        <f t="shared" si="70"/>
        <v>1223.4200000000055</v>
      </c>
      <c r="N177" s="359">
        <v>43647</v>
      </c>
      <c r="O177" s="359">
        <v>43983</v>
      </c>
      <c r="P177" s="359">
        <v>44013</v>
      </c>
      <c r="Q177" s="359">
        <v>44166</v>
      </c>
      <c r="R177" s="466"/>
    </row>
    <row r="178" spans="1:18" x14ac:dyDescent="0.2">
      <c r="A178" s="464"/>
      <c r="B178" s="507"/>
      <c r="C178" s="350">
        <v>2022</v>
      </c>
      <c r="D178" s="346"/>
      <c r="E178" s="355"/>
      <c r="F178" s="346"/>
      <c r="G178" s="346"/>
      <c r="H178" s="305">
        <f>I178+J178+K178+L178</f>
        <v>0</v>
      </c>
      <c r="I178" s="378"/>
      <c r="J178" s="295"/>
      <c r="K178" s="295"/>
      <c r="L178" s="295"/>
      <c r="M178" s="94">
        <f t="shared" si="70"/>
        <v>0</v>
      </c>
      <c r="N178" s="97"/>
      <c r="O178" s="97"/>
      <c r="P178" s="97"/>
      <c r="Q178" s="97"/>
      <c r="R178" s="466"/>
    </row>
    <row r="179" spans="1:18" x14ac:dyDescent="0.2">
      <c r="A179" s="464"/>
      <c r="B179" s="507"/>
      <c r="C179" s="350" t="s">
        <v>39</v>
      </c>
      <c r="D179" s="346"/>
      <c r="E179" s="355"/>
      <c r="F179" s="346"/>
      <c r="G179" s="346"/>
      <c r="H179" s="305">
        <f>I179+J179+K179+L179</f>
        <v>0</v>
      </c>
      <c r="I179" s="378"/>
      <c r="J179" s="295"/>
      <c r="K179" s="295"/>
      <c r="L179" s="295"/>
      <c r="M179" s="94">
        <f t="shared" si="70"/>
        <v>0</v>
      </c>
      <c r="N179" s="97"/>
      <c r="O179" s="97"/>
      <c r="Q179" s="97"/>
      <c r="R179" s="466"/>
    </row>
    <row r="180" spans="1:18" x14ac:dyDescent="0.2">
      <c r="A180" s="464"/>
      <c r="B180" s="507"/>
      <c r="C180" s="350" t="s">
        <v>191</v>
      </c>
      <c r="D180" s="346"/>
      <c r="E180" s="355"/>
      <c r="F180" s="346"/>
      <c r="G180" s="346"/>
      <c r="H180" s="305">
        <f>I180+J180+K180+L180</f>
        <v>0</v>
      </c>
      <c r="I180" s="378"/>
      <c r="J180" s="295"/>
      <c r="K180" s="295"/>
      <c r="L180" s="295"/>
      <c r="M180" s="94">
        <f t="shared" si="70"/>
        <v>0</v>
      </c>
      <c r="N180" s="97"/>
      <c r="O180" s="97"/>
      <c r="P180" s="97"/>
      <c r="Q180" s="97"/>
      <c r="R180" s="466"/>
    </row>
    <row r="181" spans="1:18" x14ac:dyDescent="0.2">
      <c r="A181" s="464"/>
      <c r="B181" s="507"/>
      <c r="C181" s="350">
        <v>2025</v>
      </c>
      <c r="D181" s="346"/>
      <c r="E181" s="346"/>
      <c r="F181" s="346"/>
      <c r="G181" s="346"/>
      <c r="H181" s="305">
        <f>I181+J181+K181+L181</f>
        <v>0</v>
      </c>
      <c r="I181" s="378"/>
      <c r="J181" s="295"/>
      <c r="K181" s="295"/>
      <c r="L181" s="295"/>
      <c r="M181" s="94">
        <f t="shared" si="70"/>
        <v>0</v>
      </c>
      <c r="N181" s="97"/>
      <c r="O181" s="97"/>
      <c r="P181" s="97"/>
      <c r="Q181" s="97"/>
      <c r="R181" s="466"/>
    </row>
    <row r="182" spans="1:18" x14ac:dyDescent="0.2">
      <c r="A182" s="464"/>
      <c r="B182" s="507"/>
      <c r="C182" s="350" t="s">
        <v>26</v>
      </c>
      <c r="D182" s="302">
        <f t="shared" ref="D182:L182" si="74">SUM(D177:D181)</f>
        <v>1031</v>
      </c>
      <c r="E182" s="302">
        <f t="shared" si="74"/>
        <v>3601.51</v>
      </c>
      <c r="F182" s="302">
        <f t="shared" si="74"/>
        <v>6.27</v>
      </c>
      <c r="G182" s="302">
        <f t="shared" si="74"/>
        <v>19.716999999999999</v>
      </c>
      <c r="H182" s="304">
        <f t="shared" si="74"/>
        <v>44362.69</v>
      </c>
      <c r="I182" s="304">
        <f t="shared" si="74"/>
        <v>43139.27</v>
      </c>
      <c r="J182" s="101">
        <f t="shared" si="74"/>
        <v>0</v>
      </c>
      <c r="K182" s="101">
        <f t="shared" si="74"/>
        <v>1223.4200000000055</v>
      </c>
      <c r="L182" s="101">
        <f t="shared" si="74"/>
        <v>0</v>
      </c>
      <c r="M182" s="101">
        <f t="shared" si="70"/>
        <v>1223.4200000000055</v>
      </c>
      <c r="N182" s="97"/>
      <c r="O182" s="97"/>
      <c r="P182" s="97"/>
      <c r="Q182" s="97"/>
      <c r="R182" s="466"/>
    </row>
    <row r="183" spans="1:18" x14ac:dyDescent="0.2">
      <c r="A183" s="464">
        <v>24</v>
      </c>
      <c r="B183" s="507" t="s">
        <v>64</v>
      </c>
      <c r="C183" s="350">
        <v>2021</v>
      </c>
      <c r="D183" s="346">
        <v>512</v>
      </c>
      <c r="E183" s="346">
        <v>717.96100000000001</v>
      </c>
      <c r="F183" s="346">
        <v>1.6830000000000001</v>
      </c>
      <c r="G183" s="346">
        <v>8</v>
      </c>
      <c r="H183" s="305">
        <f>I183+J183+K183+L183</f>
        <v>8928.25</v>
      </c>
      <c r="I183" s="378"/>
      <c r="J183" s="295">
        <v>5400</v>
      </c>
      <c r="K183" s="295">
        <f>9335.78-5807.53</f>
        <v>3528.2500000000009</v>
      </c>
      <c r="L183" s="295"/>
      <c r="M183" s="94">
        <f t="shared" si="70"/>
        <v>8928.25</v>
      </c>
      <c r="N183" s="97" t="s">
        <v>28</v>
      </c>
      <c r="O183" s="97" t="s">
        <v>51</v>
      </c>
      <c r="P183" s="97" t="s">
        <v>53</v>
      </c>
      <c r="Q183" s="97"/>
      <c r="R183" s="466"/>
    </row>
    <row r="184" spans="1:18" x14ac:dyDescent="0.2">
      <c r="A184" s="464"/>
      <c r="B184" s="507"/>
      <c r="C184" s="350">
        <v>2022</v>
      </c>
      <c r="D184" s="346"/>
      <c r="E184" s="346"/>
      <c r="F184" s="346"/>
      <c r="G184" s="346"/>
      <c r="H184" s="305">
        <f>I184+J184+K184+L184</f>
        <v>12507.529999999999</v>
      </c>
      <c r="I184" s="378"/>
      <c r="J184" s="295"/>
      <c r="K184" s="295">
        <f>6700+5807.53</f>
        <v>12507.529999999999</v>
      </c>
      <c r="L184" s="295"/>
      <c r="M184" s="94">
        <f t="shared" si="70"/>
        <v>12507.529999999999</v>
      </c>
      <c r="N184" s="97"/>
      <c r="O184" s="97"/>
      <c r="P184" s="97"/>
      <c r="Q184" s="97" t="s">
        <v>47</v>
      </c>
      <c r="R184" s="466"/>
    </row>
    <row r="185" spans="1:18" x14ac:dyDescent="0.2">
      <c r="A185" s="464"/>
      <c r="B185" s="507"/>
      <c r="C185" s="350" t="s">
        <v>39</v>
      </c>
      <c r="D185" s="346"/>
      <c r="E185" s="346"/>
      <c r="F185" s="346"/>
      <c r="G185" s="346"/>
      <c r="H185" s="305">
        <f>I185+J185+K185+L185</f>
        <v>0</v>
      </c>
      <c r="I185" s="378"/>
      <c r="J185" s="295"/>
      <c r="K185" s="295"/>
      <c r="L185" s="295"/>
      <c r="M185" s="94">
        <f t="shared" si="70"/>
        <v>0</v>
      </c>
      <c r="N185" s="97"/>
      <c r="O185" s="97"/>
      <c r="P185" s="97"/>
      <c r="Q185" s="97"/>
      <c r="R185" s="466"/>
    </row>
    <row r="186" spans="1:18" x14ac:dyDescent="0.2">
      <c r="A186" s="464"/>
      <c r="B186" s="507"/>
      <c r="C186" s="350" t="s">
        <v>191</v>
      </c>
      <c r="D186" s="346"/>
      <c r="E186" s="346"/>
      <c r="F186" s="346"/>
      <c r="G186" s="346"/>
      <c r="H186" s="305">
        <f>I186+J186+K186+L186</f>
        <v>0</v>
      </c>
      <c r="I186" s="378"/>
      <c r="J186" s="295"/>
      <c r="K186" s="295"/>
      <c r="L186" s="295"/>
      <c r="M186" s="94">
        <f t="shared" si="70"/>
        <v>0</v>
      </c>
      <c r="N186" s="97"/>
      <c r="O186" s="97"/>
      <c r="P186" s="97"/>
      <c r="Q186" s="97"/>
      <c r="R186" s="466"/>
    </row>
    <row r="187" spans="1:18" x14ac:dyDescent="0.2">
      <c r="A187" s="464"/>
      <c r="B187" s="507"/>
      <c r="C187" s="350">
        <v>2025</v>
      </c>
      <c r="D187" s="346"/>
      <c r="E187" s="346"/>
      <c r="F187" s="346"/>
      <c r="G187" s="346"/>
      <c r="H187" s="305">
        <f>I187+J187+K187+L187</f>
        <v>0</v>
      </c>
      <c r="I187" s="378"/>
      <c r="J187" s="295"/>
      <c r="K187" s="295"/>
      <c r="L187" s="295"/>
      <c r="M187" s="94">
        <f t="shared" si="70"/>
        <v>0</v>
      </c>
      <c r="N187" s="97"/>
      <c r="O187" s="97"/>
      <c r="P187" s="97"/>
      <c r="Q187" s="97"/>
      <c r="R187" s="466"/>
    </row>
    <row r="188" spans="1:18" x14ac:dyDescent="0.2">
      <c r="A188" s="464"/>
      <c r="B188" s="507"/>
      <c r="C188" s="350" t="s">
        <v>26</v>
      </c>
      <c r="D188" s="302">
        <f>SUM(D183:D187)</f>
        <v>512</v>
      </c>
      <c r="E188" s="302">
        <f t="shared" ref="E188:L188" si="75">SUM(E183:E187)</f>
        <v>717.96100000000001</v>
      </c>
      <c r="F188" s="302">
        <f t="shared" si="75"/>
        <v>1.6830000000000001</v>
      </c>
      <c r="G188" s="302">
        <f t="shared" si="75"/>
        <v>8</v>
      </c>
      <c r="H188" s="302">
        <f t="shared" si="75"/>
        <v>21435.78</v>
      </c>
      <c r="I188" s="302">
        <f t="shared" si="75"/>
        <v>0</v>
      </c>
      <c r="J188" s="101">
        <f>SUM(J183:J187)</f>
        <v>5400</v>
      </c>
      <c r="K188" s="101">
        <f>SUM(K183:K187)</f>
        <v>16035.779999999999</v>
      </c>
      <c r="L188" s="101">
        <f t="shared" si="75"/>
        <v>0</v>
      </c>
      <c r="M188" s="101">
        <f t="shared" si="70"/>
        <v>21435.78</v>
      </c>
      <c r="N188" s="97"/>
      <c r="O188" s="97"/>
      <c r="P188" s="97"/>
      <c r="Q188" s="97"/>
      <c r="R188" s="466"/>
    </row>
    <row r="189" spans="1:18" x14ac:dyDescent="0.2">
      <c r="A189" s="464">
        <v>25</v>
      </c>
      <c r="B189" s="507" t="s">
        <v>198</v>
      </c>
      <c r="C189" s="350">
        <v>2021</v>
      </c>
      <c r="D189" s="346"/>
      <c r="E189" s="346"/>
      <c r="F189" s="346"/>
      <c r="G189" s="346"/>
      <c r="H189" s="305">
        <f>I189+J189+K189+L189</f>
        <v>0</v>
      </c>
      <c r="I189" s="378"/>
      <c r="J189" s="295"/>
      <c r="K189" s="295"/>
      <c r="L189" s="295"/>
      <c r="M189" s="94">
        <f t="shared" ref="M189:M194" si="76">J189+K189+L189</f>
        <v>0</v>
      </c>
      <c r="N189" s="97"/>
      <c r="O189" s="97"/>
      <c r="P189" s="97"/>
      <c r="Q189" s="97"/>
      <c r="R189" s="466"/>
    </row>
    <row r="190" spans="1:18" x14ac:dyDescent="0.2">
      <c r="A190" s="464"/>
      <c r="B190" s="507"/>
      <c r="C190" s="350">
        <v>2022</v>
      </c>
      <c r="D190" s="346">
        <v>200</v>
      </c>
      <c r="E190" s="346">
        <v>612</v>
      </c>
      <c r="F190" s="346">
        <v>1.02</v>
      </c>
      <c r="G190" s="346">
        <v>7.0000000000000007E-2</v>
      </c>
      <c r="H190" s="305">
        <f>I190+J190+K190+L190</f>
        <v>1900</v>
      </c>
      <c r="I190" s="378"/>
      <c r="J190" s="295">
        <v>700</v>
      </c>
      <c r="K190" s="295">
        <v>1200</v>
      </c>
      <c r="L190" s="295"/>
      <c r="M190" s="94">
        <f t="shared" si="76"/>
        <v>1900</v>
      </c>
      <c r="N190" s="97" t="s">
        <v>28</v>
      </c>
      <c r="O190" s="97" t="s">
        <v>51</v>
      </c>
      <c r="P190" s="97" t="s">
        <v>53</v>
      </c>
      <c r="Q190" s="97" t="s">
        <v>31</v>
      </c>
      <c r="R190" s="466"/>
    </row>
    <row r="191" spans="1:18" x14ac:dyDescent="0.2">
      <c r="A191" s="464"/>
      <c r="B191" s="507"/>
      <c r="C191" s="350" t="s">
        <v>39</v>
      </c>
      <c r="D191" s="346"/>
      <c r="E191" s="346"/>
      <c r="F191" s="346"/>
      <c r="G191" s="346"/>
      <c r="H191" s="305">
        <f>I191+J191+K191+L191</f>
        <v>0</v>
      </c>
      <c r="I191" s="378"/>
      <c r="J191" s="295"/>
      <c r="K191" s="295"/>
      <c r="L191" s="295"/>
      <c r="M191" s="94">
        <f t="shared" si="76"/>
        <v>0</v>
      </c>
      <c r="N191" s="97"/>
      <c r="O191" s="97"/>
      <c r="P191" s="97"/>
      <c r="Q191" s="97"/>
      <c r="R191" s="466"/>
    </row>
    <row r="192" spans="1:18" x14ac:dyDescent="0.2">
      <c r="A192" s="464"/>
      <c r="B192" s="507"/>
      <c r="C192" s="350" t="s">
        <v>191</v>
      </c>
      <c r="D192" s="346"/>
      <c r="E192" s="346"/>
      <c r="F192" s="346"/>
      <c r="G192" s="346"/>
      <c r="H192" s="305">
        <f>I192+J192+K192+L192</f>
        <v>0</v>
      </c>
      <c r="I192" s="378"/>
      <c r="J192" s="295"/>
      <c r="K192" s="295"/>
      <c r="L192" s="295"/>
      <c r="M192" s="94">
        <f t="shared" si="76"/>
        <v>0</v>
      </c>
      <c r="N192" s="97"/>
      <c r="O192" s="97"/>
      <c r="P192" s="97"/>
      <c r="Q192" s="97"/>
      <c r="R192" s="466"/>
    </row>
    <row r="193" spans="1:18" x14ac:dyDescent="0.2">
      <c r="A193" s="464"/>
      <c r="B193" s="507"/>
      <c r="C193" s="350">
        <v>2025</v>
      </c>
      <c r="D193" s="346"/>
      <c r="E193" s="346"/>
      <c r="F193" s="346"/>
      <c r="G193" s="346"/>
      <c r="H193" s="305">
        <f>I193+J193+K193+L193</f>
        <v>0</v>
      </c>
      <c r="I193" s="378"/>
      <c r="J193" s="295"/>
      <c r="K193" s="295"/>
      <c r="L193" s="295"/>
      <c r="M193" s="94">
        <f t="shared" si="76"/>
        <v>0</v>
      </c>
      <c r="N193" s="97"/>
      <c r="O193" s="97"/>
      <c r="P193" s="97"/>
      <c r="Q193" s="97"/>
      <c r="R193" s="466"/>
    </row>
    <row r="194" spans="1:18" x14ac:dyDescent="0.2">
      <c r="A194" s="464"/>
      <c r="B194" s="507"/>
      <c r="C194" s="350" t="s">
        <v>26</v>
      </c>
      <c r="D194" s="302">
        <f>SUM(D189:D193)</f>
        <v>200</v>
      </c>
      <c r="E194" s="302">
        <f t="shared" ref="E194:I194" si="77">SUM(E189:E193)</f>
        <v>612</v>
      </c>
      <c r="F194" s="302">
        <f t="shared" si="77"/>
        <v>1.02</v>
      </c>
      <c r="G194" s="302">
        <f t="shared" si="77"/>
        <v>7.0000000000000007E-2</v>
      </c>
      <c r="H194" s="302">
        <f t="shared" si="77"/>
        <v>1900</v>
      </c>
      <c r="I194" s="302">
        <f t="shared" si="77"/>
        <v>0</v>
      </c>
      <c r="J194" s="101">
        <f>SUM(J189:J193)</f>
        <v>700</v>
      </c>
      <c r="K194" s="101">
        <f>SUM(K189:K193)</f>
        <v>1200</v>
      </c>
      <c r="L194" s="101">
        <f t="shared" ref="L194" si="78">SUM(L189:L193)</f>
        <v>0</v>
      </c>
      <c r="M194" s="101">
        <f t="shared" si="76"/>
        <v>1900</v>
      </c>
      <c r="N194" s="97"/>
      <c r="O194" s="97"/>
      <c r="P194" s="97"/>
      <c r="Q194" s="97"/>
      <c r="R194" s="466"/>
    </row>
    <row r="195" spans="1:18" x14ac:dyDescent="0.2">
      <c r="A195" s="464">
        <v>26</v>
      </c>
      <c r="B195" s="507" t="s">
        <v>202</v>
      </c>
      <c r="C195" s="350">
        <v>2021</v>
      </c>
      <c r="D195" s="346"/>
      <c r="E195" s="346"/>
      <c r="F195" s="346"/>
      <c r="G195" s="346"/>
      <c r="H195" s="305">
        <f>I195+J195+K195+L195</f>
        <v>0</v>
      </c>
      <c r="I195" s="378"/>
      <c r="J195" s="295"/>
      <c r="K195" s="295"/>
      <c r="L195" s="295"/>
      <c r="M195" s="94">
        <f t="shared" ref="M195:M200" si="79">J195+K195+L195</f>
        <v>0</v>
      </c>
      <c r="N195" s="97"/>
      <c r="O195" s="97"/>
      <c r="P195" s="97"/>
      <c r="Q195" s="97"/>
      <c r="R195" s="466"/>
    </row>
    <row r="196" spans="1:18" x14ac:dyDescent="0.2">
      <c r="A196" s="464"/>
      <c r="B196" s="507"/>
      <c r="C196" s="350">
        <v>2022</v>
      </c>
      <c r="D196" s="346"/>
      <c r="E196" s="346"/>
      <c r="F196" s="346"/>
      <c r="G196" s="346"/>
      <c r="H196" s="305">
        <f>I196+J196+K196+L196</f>
        <v>0</v>
      </c>
      <c r="I196" s="378"/>
      <c r="J196" s="295"/>
      <c r="K196" s="295"/>
      <c r="L196" s="295"/>
      <c r="M196" s="94">
        <f t="shared" si="79"/>
        <v>0</v>
      </c>
      <c r="N196" s="97"/>
      <c r="O196" s="97"/>
      <c r="P196" s="97"/>
      <c r="Q196" s="97"/>
      <c r="R196" s="466"/>
    </row>
    <row r="197" spans="1:18" x14ac:dyDescent="0.2">
      <c r="A197" s="464"/>
      <c r="B197" s="507"/>
      <c r="C197" s="350" t="s">
        <v>39</v>
      </c>
      <c r="D197" s="346">
        <v>100</v>
      </c>
      <c r="E197" s="346">
        <v>500</v>
      </c>
      <c r="F197" s="346">
        <v>0.9</v>
      </c>
      <c r="G197" s="346">
        <v>0.02</v>
      </c>
      <c r="H197" s="305">
        <f>I197+J197+K197+L197</f>
        <v>3200</v>
      </c>
      <c r="I197" s="378"/>
      <c r="J197" s="295">
        <v>500</v>
      </c>
      <c r="K197" s="295">
        <v>2700</v>
      </c>
      <c r="L197" s="295"/>
      <c r="M197" s="94">
        <f t="shared" si="79"/>
        <v>3200</v>
      </c>
      <c r="N197" s="97" t="s">
        <v>28</v>
      </c>
      <c r="O197" s="97" t="s">
        <v>51</v>
      </c>
      <c r="P197" s="97" t="s">
        <v>53</v>
      </c>
      <c r="Q197" s="97" t="s">
        <v>31</v>
      </c>
      <c r="R197" s="466"/>
    </row>
    <row r="198" spans="1:18" x14ac:dyDescent="0.2">
      <c r="A198" s="464"/>
      <c r="B198" s="507"/>
      <c r="C198" s="350" t="s">
        <v>191</v>
      </c>
      <c r="D198" s="346"/>
      <c r="E198" s="346"/>
      <c r="F198" s="346"/>
      <c r="G198" s="346"/>
      <c r="H198" s="305">
        <f>I198+J198+K198+L198</f>
        <v>0</v>
      </c>
      <c r="I198" s="378"/>
      <c r="J198" s="295"/>
      <c r="K198" s="295"/>
      <c r="L198" s="295"/>
      <c r="M198" s="94">
        <f t="shared" si="79"/>
        <v>0</v>
      </c>
      <c r="N198" s="97"/>
      <c r="O198" s="97"/>
      <c r="P198" s="97"/>
      <c r="Q198" s="97"/>
      <c r="R198" s="466"/>
    </row>
    <row r="199" spans="1:18" x14ac:dyDescent="0.2">
      <c r="A199" s="464"/>
      <c r="B199" s="507"/>
      <c r="C199" s="350">
        <v>2025</v>
      </c>
      <c r="D199" s="346"/>
      <c r="E199" s="346"/>
      <c r="F199" s="346"/>
      <c r="G199" s="346"/>
      <c r="H199" s="305">
        <f>I199+J199+K199+L199</f>
        <v>0</v>
      </c>
      <c r="I199" s="378"/>
      <c r="J199" s="295"/>
      <c r="K199" s="295"/>
      <c r="L199" s="295"/>
      <c r="M199" s="94">
        <f t="shared" si="79"/>
        <v>0</v>
      </c>
      <c r="N199" s="97"/>
      <c r="O199" s="97"/>
      <c r="P199" s="97"/>
      <c r="Q199" s="97"/>
      <c r="R199" s="466"/>
    </row>
    <row r="200" spans="1:18" x14ac:dyDescent="0.2">
      <c r="A200" s="464"/>
      <c r="B200" s="507"/>
      <c r="C200" s="350" t="s">
        <v>26</v>
      </c>
      <c r="D200" s="302">
        <f>SUM(D195:D199)</f>
        <v>100</v>
      </c>
      <c r="E200" s="302">
        <f t="shared" ref="E200:I200" si="80">SUM(E195:E199)</f>
        <v>500</v>
      </c>
      <c r="F200" s="302">
        <f t="shared" si="80"/>
        <v>0.9</v>
      </c>
      <c r="G200" s="302">
        <f t="shared" si="80"/>
        <v>0.02</v>
      </c>
      <c r="H200" s="302">
        <f t="shared" si="80"/>
        <v>3200</v>
      </c>
      <c r="I200" s="302">
        <f t="shared" si="80"/>
        <v>0</v>
      </c>
      <c r="J200" s="101">
        <f>SUM(J195:J199)</f>
        <v>500</v>
      </c>
      <c r="K200" s="101">
        <f>SUM(K195:K199)</f>
        <v>2700</v>
      </c>
      <c r="L200" s="101">
        <f t="shared" ref="L200" si="81">SUM(L195:L199)</f>
        <v>0</v>
      </c>
      <c r="M200" s="101">
        <f t="shared" si="79"/>
        <v>3200</v>
      </c>
      <c r="N200" s="97"/>
      <c r="O200" s="97"/>
      <c r="P200" s="97"/>
      <c r="Q200" s="97"/>
      <c r="R200" s="466"/>
    </row>
    <row r="201" spans="1:18" x14ac:dyDescent="0.2">
      <c r="A201" s="464">
        <v>27</v>
      </c>
      <c r="B201" s="507" t="s">
        <v>203</v>
      </c>
      <c r="C201" s="350">
        <v>2021</v>
      </c>
      <c r="D201" s="346"/>
      <c r="E201" s="346"/>
      <c r="F201" s="346"/>
      <c r="G201" s="346"/>
      <c r="H201" s="305">
        <f>I201+J201+K201+L201</f>
        <v>0</v>
      </c>
      <c r="I201" s="378"/>
      <c r="J201" s="295"/>
      <c r="K201" s="295"/>
      <c r="L201" s="295"/>
      <c r="M201" s="94">
        <f t="shared" ref="M201:M205" si="82">J201+K201+L201</f>
        <v>0</v>
      </c>
      <c r="N201" s="97"/>
      <c r="O201" s="97"/>
      <c r="P201" s="97"/>
      <c r="Q201" s="97"/>
      <c r="R201" s="466"/>
    </row>
    <row r="202" spans="1:18" x14ac:dyDescent="0.2">
      <c r="A202" s="464"/>
      <c r="B202" s="507"/>
      <c r="C202" s="350">
        <v>2022</v>
      </c>
      <c r="D202" s="346"/>
      <c r="E202" s="346"/>
      <c r="F202" s="346"/>
      <c r="G202" s="346"/>
      <c r="H202" s="305">
        <f>I202+J202+K202+L202</f>
        <v>0</v>
      </c>
      <c r="I202" s="378"/>
      <c r="J202" s="295"/>
      <c r="K202" s="295"/>
      <c r="L202" s="295"/>
      <c r="M202" s="94">
        <f t="shared" si="82"/>
        <v>0</v>
      </c>
      <c r="N202" s="97"/>
      <c r="O202" s="97"/>
      <c r="P202" s="97"/>
      <c r="Q202" s="97"/>
      <c r="R202" s="466"/>
    </row>
    <row r="203" spans="1:18" x14ac:dyDescent="0.2">
      <c r="A203" s="464"/>
      <c r="B203" s="507"/>
      <c r="C203" s="350" t="s">
        <v>39</v>
      </c>
      <c r="D203" s="346">
        <v>80</v>
      </c>
      <c r="E203" s="346">
        <v>400</v>
      </c>
      <c r="F203" s="346">
        <v>0.7</v>
      </c>
      <c r="G203" s="346">
        <v>0.02</v>
      </c>
      <c r="H203" s="305">
        <f>I203+J203+K203+L203</f>
        <v>3200</v>
      </c>
      <c r="I203" s="378"/>
      <c r="J203" s="295">
        <v>500</v>
      </c>
      <c r="K203" s="295">
        <v>2700</v>
      </c>
      <c r="L203" s="295"/>
      <c r="M203" s="94">
        <f t="shared" si="82"/>
        <v>3200</v>
      </c>
      <c r="N203" s="97" t="s">
        <v>28</v>
      </c>
      <c r="O203" s="97" t="s">
        <v>51</v>
      </c>
      <c r="P203" s="97" t="s">
        <v>53</v>
      </c>
      <c r="Q203" s="97" t="s">
        <v>31</v>
      </c>
      <c r="R203" s="466"/>
    </row>
    <row r="204" spans="1:18" x14ac:dyDescent="0.2">
      <c r="A204" s="464"/>
      <c r="B204" s="507"/>
      <c r="C204" s="350" t="s">
        <v>191</v>
      </c>
      <c r="D204" s="346"/>
      <c r="E204" s="346"/>
      <c r="F204" s="346"/>
      <c r="G204" s="346"/>
      <c r="H204" s="305">
        <f>I204+J204+K204+L204</f>
        <v>0</v>
      </c>
      <c r="I204" s="378"/>
      <c r="J204" s="295"/>
      <c r="K204" s="295"/>
      <c r="L204" s="295"/>
      <c r="M204" s="94">
        <f t="shared" si="82"/>
        <v>0</v>
      </c>
      <c r="N204" s="97"/>
      <c r="O204" s="97"/>
      <c r="P204" s="97"/>
      <c r="Q204" s="97"/>
      <c r="R204" s="466"/>
    </row>
    <row r="205" spans="1:18" x14ac:dyDescent="0.2">
      <c r="A205" s="464"/>
      <c r="B205" s="507"/>
      <c r="C205" s="350">
        <v>2025</v>
      </c>
      <c r="D205" s="346"/>
      <c r="E205" s="346"/>
      <c r="F205" s="346"/>
      <c r="G205" s="346"/>
      <c r="H205" s="305">
        <f>I205+J205+K205+L205</f>
        <v>0</v>
      </c>
      <c r="I205" s="378"/>
      <c r="J205" s="295"/>
      <c r="K205" s="295"/>
      <c r="L205" s="295"/>
      <c r="M205" s="94">
        <f t="shared" si="82"/>
        <v>0</v>
      </c>
      <c r="N205" s="97"/>
      <c r="O205" s="97"/>
      <c r="P205" s="97"/>
      <c r="Q205" s="97"/>
      <c r="R205" s="466"/>
    </row>
    <row r="206" spans="1:18" x14ac:dyDescent="0.2">
      <c r="A206" s="464"/>
      <c r="B206" s="507"/>
      <c r="C206" s="350" t="s">
        <v>26</v>
      </c>
      <c r="D206" s="302">
        <f>SUM(D201:D205)</f>
        <v>80</v>
      </c>
      <c r="E206" s="302">
        <f t="shared" ref="E206:I206" si="83">SUM(E201:E205)</f>
        <v>400</v>
      </c>
      <c r="F206" s="302">
        <f t="shared" si="83"/>
        <v>0.7</v>
      </c>
      <c r="G206" s="302">
        <f t="shared" si="83"/>
        <v>0.02</v>
      </c>
      <c r="H206" s="302">
        <f t="shared" si="83"/>
        <v>3200</v>
      </c>
      <c r="I206" s="302">
        <f t="shared" si="83"/>
        <v>0</v>
      </c>
      <c r="J206" s="101">
        <f>SUM(J201:J205)</f>
        <v>500</v>
      </c>
      <c r="K206" s="101">
        <f>SUM(K201:K205)</f>
        <v>2700</v>
      </c>
      <c r="L206" s="101">
        <f t="shared" ref="L206" si="84">SUM(L201:L205)</f>
        <v>0</v>
      </c>
      <c r="M206" s="101">
        <f>J206+K206+L206</f>
        <v>3200</v>
      </c>
      <c r="N206" s="97"/>
      <c r="O206" s="97"/>
      <c r="P206" s="97"/>
      <c r="Q206" s="97"/>
      <c r="R206" s="466"/>
    </row>
    <row r="207" spans="1:18" x14ac:dyDescent="0.2">
      <c r="A207" s="502" t="s">
        <v>29</v>
      </c>
      <c r="B207" s="502"/>
      <c r="C207" s="350">
        <v>2021</v>
      </c>
      <c r="D207" s="302">
        <f>D189+D195+D201+D165+D171+D177+D183+D159+D153</f>
        <v>1711</v>
      </c>
      <c r="E207" s="302">
        <f t="shared" ref="E207:L207" si="85">E189+E195+E201+E165+E171+E177+E183+E159+E153</f>
        <v>4972.2010000000009</v>
      </c>
      <c r="F207" s="302">
        <f t="shared" si="85"/>
        <v>8.9529999999999994</v>
      </c>
      <c r="G207" s="302">
        <f t="shared" si="85"/>
        <v>32.146999999999998</v>
      </c>
      <c r="H207" s="302">
        <f t="shared" si="85"/>
        <v>67028.02</v>
      </c>
      <c r="I207" s="302">
        <f t="shared" si="85"/>
        <v>44720.826999999997</v>
      </c>
      <c r="J207" s="302">
        <f t="shared" si="85"/>
        <v>5400</v>
      </c>
      <c r="K207" s="302">
        <f t="shared" si="85"/>
        <v>16278.340000000007</v>
      </c>
      <c r="L207" s="302">
        <f t="shared" si="85"/>
        <v>0</v>
      </c>
      <c r="M207" s="101">
        <f t="shared" ref="M207:M211" si="86">J207+K207+L207</f>
        <v>21678.340000000007</v>
      </c>
      <c r="N207" s="374"/>
      <c r="O207" s="97"/>
      <c r="P207" s="97"/>
      <c r="Q207" s="97"/>
      <c r="R207" s="466"/>
    </row>
    <row r="208" spans="1:18" x14ac:dyDescent="0.2">
      <c r="A208" s="502"/>
      <c r="B208" s="502"/>
      <c r="C208" s="350">
        <v>2022</v>
      </c>
      <c r="D208" s="302">
        <f t="shared" ref="D208:L208" si="87">D190+D196+D202+D166+D172+D178+D184+D160+D154</f>
        <v>200</v>
      </c>
      <c r="E208" s="302">
        <f t="shared" si="87"/>
        <v>612</v>
      </c>
      <c r="F208" s="302">
        <f t="shared" si="87"/>
        <v>1.02</v>
      </c>
      <c r="G208" s="302">
        <f t="shared" si="87"/>
        <v>7.0000000000000007E-2</v>
      </c>
      <c r="H208" s="302">
        <f t="shared" si="87"/>
        <v>14407.529999999999</v>
      </c>
      <c r="I208" s="302">
        <f t="shared" si="87"/>
        <v>0</v>
      </c>
      <c r="J208" s="302">
        <f t="shared" si="87"/>
        <v>700</v>
      </c>
      <c r="K208" s="302">
        <f t="shared" si="87"/>
        <v>13707.529999999999</v>
      </c>
      <c r="L208" s="302">
        <f t="shared" si="87"/>
        <v>0</v>
      </c>
      <c r="M208" s="101">
        <f t="shared" si="86"/>
        <v>14407.529999999999</v>
      </c>
      <c r="N208" s="374"/>
      <c r="O208" s="97"/>
      <c r="P208" s="97"/>
      <c r="Q208" s="97"/>
      <c r="R208" s="466"/>
    </row>
    <row r="209" spans="1:18" x14ac:dyDescent="0.2">
      <c r="A209" s="502"/>
      <c r="B209" s="502"/>
      <c r="C209" s="350" t="s">
        <v>39</v>
      </c>
      <c r="D209" s="302">
        <f t="shared" ref="D209:L209" si="88">D191+D197+D203+D167+D173+D179+D185+D161+D155</f>
        <v>180</v>
      </c>
      <c r="E209" s="302">
        <f t="shared" si="88"/>
        <v>900</v>
      </c>
      <c r="F209" s="302">
        <f t="shared" si="88"/>
        <v>1.6</v>
      </c>
      <c r="G209" s="302">
        <f t="shared" si="88"/>
        <v>0.04</v>
      </c>
      <c r="H209" s="302">
        <f t="shared" si="88"/>
        <v>6400</v>
      </c>
      <c r="I209" s="302">
        <f t="shared" si="88"/>
        <v>0</v>
      </c>
      <c r="J209" s="302">
        <f t="shared" si="88"/>
        <v>1000</v>
      </c>
      <c r="K209" s="302">
        <f t="shared" si="88"/>
        <v>5400</v>
      </c>
      <c r="L209" s="302">
        <f t="shared" si="88"/>
        <v>0</v>
      </c>
      <c r="M209" s="101">
        <f t="shared" si="86"/>
        <v>6400</v>
      </c>
      <c r="N209" s="374"/>
      <c r="O209" s="97"/>
      <c r="P209" s="97"/>
      <c r="Q209" s="97"/>
      <c r="R209" s="466"/>
    </row>
    <row r="210" spans="1:18" x14ac:dyDescent="0.2">
      <c r="A210" s="502"/>
      <c r="B210" s="502"/>
      <c r="C210" s="350" t="s">
        <v>191</v>
      </c>
      <c r="D210" s="302">
        <f t="shared" ref="D210:L210" si="89">D192+D198+D204+D168+D174+D180+D186+D162+D156</f>
        <v>238</v>
      </c>
      <c r="E210" s="302">
        <f t="shared" si="89"/>
        <v>387.83100000000002</v>
      </c>
      <c r="F210" s="302">
        <f t="shared" si="89"/>
        <v>0.81190000000000007</v>
      </c>
      <c r="G210" s="302">
        <f t="shared" si="89"/>
        <v>14.4</v>
      </c>
      <c r="H210" s="302">
        <f t="shared" si="89"/>
        <v>16500</v>
      </c>
      <c r="I210" s="302">
        <f t="shared" si="89"/>
        <v>0</v>
      </c>
      <c r="J210" s="302">
        <f t="shared" si="89"/>
        <v>16500</v>
      </c>
      <c r="K210" s="302">
        <f t="shared" si="89"/>
        <v>0</v>
      </c>
      <c r="L210" s="302">
        <f t="shared" si="89"/>
        <v>0</v>
      </c>
      <c r="M210" s="101">
        <f t="shared" si="86"/>
        <v>16500</v>
      </c>
      <c r="N210" s="374"/>
      <c r="O210" s="97"/>
      <c r="P210" s="97"/>
      <c r="Q210" s="97"/>
      <c r="R210" s="466"/>
    </row>
    <row r="211" spans="1:18" x14ac:dyDescent="0.2">
      <c r="A211" s="502"/>
      <c r="B211" s="502"/>
      <c r="C211" s="350">
        <v>2025</v>
      </c>
      <c r="D211" s="302">
        <f t="shared" ref="D211:L211" si="90">D193+D199+D205+D169+D175+D181+D187+D163+D157</f>
        <v>0</v>
      </c>
      <c r="E211" s="302">
        <f t="shared" si="90"/>
        <v>0</v>
      </c>
      <c r="F211" s="302">
        <f t="shared" si="90"/>
        <v>0</v>
      </c>
      <c r="G211" s="302">
        <f t="shared" si="90"/>
        <v>0</v>
      </c>
      <c r="H211" s="302">
        <f t="shared" si="90"/>
        <v>73000</v>
      </c>
      <c r="I211" s="302">
        <f t="shared" si="90"/>
        <v>0</v>
      </c>
      <c r="J211" s="302">
        <f t="shared" si="90"/>
        <v>0</v>
      </c>
      <c r="K211" s="302">
        <f t="shared" si="90"/>
        <v>73000</v>
      </c>
      <c r="L211" s="302">
        <f t="shared" si="90"/>
        <v>0</v>
      </c>
      <c r="M211" s="101">
        <f t="shared" si="86"/>
        <v>73000</v>
      </c>
      <c r="N211" s="374"/>
      <c r="O211" s="97"/>
      <c r="P211" s="97"/>
      <c r="Q211" s="97"/>
      <c r="R211" s="466"/>
    </row>
    <row r="212" spans="1:18" x14ac:dyDescent="0.2">
      <c r="A212" s="502"/>
      <c r="B212" s="502"/>
      <c r="C212" s="350" t="s">
        <v>12</v>
      </c>
      <c r="D212" s="302">
        <f>SUM(D207:D211)</f>
        <v>2329</v>
      </c>
      <c r="E212" s="302">
        <f t="shared" ref="E212:L212" si="91">SUM(E207:E211)</f>
        <v>6872.0320000000011</v>
      </c>
      <c r="F212" s="302">
        <f t="shared" si="91"/>
        <v>12.384899999999998</v>
      </c>
      <c r="G212" s="302">
        <f t="shared" si="91"/>
        <v>46.656999999999996</v>
      </c>
      <c r="H212" s="302">
        <f t="shared" si="91"/>
        <v>177335.55</v>
      </c>
      <c r="I212" s="302">
        <f t="shared" si="91"/>
        <v>44720.826999999997</v>
      </c>
      <c r="J212" s="302">
        <f t="shared" si="91"/>
        <v>23600</v>
      </c>
      <c r="K212" s="302">
        <f t="shared" si="91"/>
        <v>108385.87000000001</v>
      </c>
      <c r="L212" s="302">
        <f t="shared" si="91"/>
        <v>0</v>
      </c>
      <c r="M212" s="302">
        <f>SUM(M207:M211)</f>
        <v>131985.87</v>
      </c>
      <c r="N212" s="97"/>
      <c r="O212" s="97"/>
      <c r="P212" s="97"/>
      <c r="Q212" s="97"/>
      <c r="R212" s="466"/>
    </row>
    <row r="213" spans="1:18" ht="18" customHeight="1" x14ac:dyDescent="0.2">
      <c r="A213" s="473" t="s">
        <v>34</v>
      </c>
      <c r="B213" s="474"/>
      <c r="C213" s="7"/>
      <c r="D213" s="10"/>
      <c r="E213" s="346"/>
      <c r="F213" s="10"/>
      <c r="G213" s="10"/>
      <c r="H213" s="7"/>
      <c r="I213" s="7"/>
      <c r="J213" s="17"/>
      <c r="K213" s="17"/>
      <c r="L213" s="17"/>
      <c r="M213" s="17"/>
      <c r="N213" s="7"/>
      <c r="O213" s="7"/>
      <c r="P213" s="7"/>
      <c r="Q213" s="7"/>
      <c r="R213" s="466"/>
    </row>
    <row r="214" spans="1:18" ht="15" hidden="1" customHeight="1" outlineLevel="1" x14ac:dyDescent="0.2">
      <c r="A214" s="464">
        <v>23</v>
      </c>
      <c r="B214" s="508" t="s">
        <v>212</v>
      </c>
      <c r="C214" s="350">
        <v>2021</v>
      </c>
      <c r="D214" s="346"/>
      <c r="E214" s="346"/>
      <c r="F214" s="345"/>
      <c r="G214" s="91"/>
      <c r="H214" s="305">
        <f>I214+J214+K214+L214</f>
        <v>0</v>
      </c>
      <c r="I214" s="379"/>
      <c r="J214" s="94"/>
      <c r="K214" s="94"/>
      <c r="L214" s="94"/>
      <c r="M214" s="94">
        <f>J214+K214+L214</f>
        <v>0</v>
      </c>
      <c r="N214" s="97"/>
      <c r="O214" s="97"/>
      <c r="P214" s="97"/>
      <c r="Q214" s="97"/>
      <c r="R214" s="501"/>
    </row>
    <row r="215" spans="1:18" ht="15" hidden="1" customHeight="1" outlineLevel="1" x14ac:dyDescent="0.2">
      <c r="A215" s="464"/>
      <c r="B215" s="509"/>
      <c r="C215" s="350">
        <v>2022</v>
      </c>
      <c r="D215" s="346"/>
      <c r="E215" s="346"/>
      <c r="F215" s="345"/>
      <c r="G215" s="91"/>
      <c r="H215" s="305">
        <f>I215+J215+K215+L215</f>
        <v>0</v>
      </c>
      <c r="I215" s="379"/>
      <c r="J215" s="94"/>
      <c r="K215" s="94"/>
      <c r="L215" s="94"/>
      <c r="M215" s="94">
        <f t="shared" ref="M215:M219" si="92">J215+K215+L215</f>
        <v>0</v>
      </c>
      <c r="N215" s="97"/>
      <c r="O215" s="97"/>
      <c r="P215" s="97"/>
      <c r="Q215" s="97"/>
      <c r="R215" s="501"/>
    </row>
    <row r="216" spans="1:18" ht="15" hidden="1" customHeight="1" outlineLevel="1" x14ac:dyDescent="0.2">
      <c r="A216" s="464"/>
      <c r="B216" s="509"/>
      <c r="C216" s="350" t="s">
        <v>39</v>
      </c>
      <c r="D216" s="346"/>
      <c r="E216" s="355"/>
      <c r="F216" s="345"/>
      <c r="G216" s="91"/>
      <c r="H216" s="305">
        <f>I216+J216+K216+L216</f>
        <v>0</v>
      </c>
      <c r="I216" s="379"/>
      <c r="J216" s="94"/>
      <c r="K216" s="94"/>
      <c r="L216" s="94"/>
      <c r="M216" s="94">
        <f t="shared" si="92"/>
        <v>0</v>
      </c>
      <c r="N216" s="97"/>
      <c r="O216" s="97"/>
      <c r="P216" s="97"/>
      <c r="Q216" s="97"/>
      <c r="R216" s="501"/>
    </row>
    <row r="217" spans="1:18" ht="15" hidden="1" customHeight="1" outlineLevel="1" x14ac:dyDescent="0.2">
      <c r="A217" s="464"/>
      <c r="B217" s="509"/>
      <c r="C217" s="350" t="s">
        <v>191</v>
      </c>
      <c r="D217" s="346"/>
      <c r="E217" s="355"/>
      <c r="F217" s="345"/>
      <c r="G217" s="91"/>
      <c r="H217" s="305">
        <f>I217+J217+K217+L217</f>
        <v>0</v>
      </c>
      <c r="I217" s="379"/>
      <c r="J217" s="94">
        <v>0</v>
      </c>
      <c r="K217" s="94"/>
      <c r="L217" s="94"/>
      <c r="M217" s="94">
        <f t="shared" si="92"/>
        <v>0</v>
      </c>
      <c r="N217" s="97" t="s">
        <v>71</v>
      </c>
      <c r="O217" s="97" t="s">
        <v>31</v>
      </c>
      <c r="P217" s="97"/>
      <c r="Q217" s="97"/>
      <c r="R217" s="501"/>
    </row>
    <row r="218" spans="1:18" ht="15" hidden="1" customHeight="1" outlineLevel="1" x14ac:dyDescent="0.2">
      <c r="A218" s="464"/>
      <c r="B218" s="509"/>
      <c r="C218" s="350">
        <v>2025</v>
      </c>
      <c r="D218" s="346"/>
      <c r="E218" s="355"/>
      <c r="F218" s="345"/>
      <c r="G218" s="91"/>
      <c r="H218" s="305">
        <f>I218+J218+K218+L218</f>
        <v>0</v>
      </c>
      <c r="I218" s="379">
        <v>0</v>
      </c>
      <c r="J218" s="94"/>
      <c r="K218" s="94">
        <v>0</v>
      </c>
      <c r="L218" s="94"/>
      <c r="M218" s="94">
        <f t="shared" si="92"/>
        <v>0</v>
      </c>
      <c r="N218" s="97"/>
      <c r="O218" s="97"/>
      <c r="P218" s="97" t="s">
        <v>28</v>
      </c>
      <c r="Q218" s="97" t="s">
        <v>49</v>
      </c>
      <c r="R218" s="501"/>
    </row>
    <row r="219" spans="1:18" ht="15" hidden="1" customHeight="1" outlineLevel="1" x14ac:dyDescent="0.2">
      <c r="A219" s="464"/>
      <c r="B219" s="510"/>
      <c r="C219" s="350" t="s">
        <v>26</v>
      </c>
      <c r="D219" s="91">
        <f>SUM(D214:D218)</f>
        <v>0</v>
      </c>
      <c r="E219" s="91">
        <f>SUM(E214:E218)</f>
        <v>0</v>
      </c>
      <c r="F219" s="91">
        <f t="shared" ref="F219:G219" si="93">SUM(F214:F218)</f>
        <v>0</v>
      </c>
      <c r="G219" s="91">
        <f t="shared" si="93"/>
        <v>0</v>
      </c>
      <c r="H219" s="380">
        <f>SUM(H214:H218)</f>
        <v>0</v>
      </c>
      <c r="I219" s="91">
        <f t="shared" ref="I219:J219" si="94">SUM(I214:I218)</f>
        <v>0</v>
      </c>
      <c r="J219" s="354">
        <f t="shared" si="94"/>
        <v>0</v>
      </c>
      <c r="K219" s="354">
        <f>SUM(K214:K218)</f>
        <v>0</v>
      </c>
      <c r="L219" s="354">
        <f t="shared" ref="L219" si="95">SUM(L214:L218)</f>
        <v>0</v>
      </c>
      <c r="M219" s="354">
        <f t="shared" si="92"/>
        <v>0</v>
      </c>
      <c r="N219" s="97"/>
      <c r="O219" s="97"/>
      <c r="P219" s="97"/>
      <c r="Q219" s="97"/>
      <c r="R219" s="501"/>
    </row>
    <row r="220" spans="1:18" ht="14.25" customHeight="1" collapsed="1" x14ac:dyDescent="0.2">
      <c r="A220" s="464">
        <v>28</v>
      </c>
      <c r="B220" s="465" t="s">
        <v>88</v>
      </c>
      <c r="C220" s="350">
        <v>2021</v>
      </c>
      <c r="D220" s="302">
        <v>570</v>
      </c>
      <c r="E220" s="302">
        <v>1494.4</v>
      </c>
      <c r="F220" s="302">
        <v>2.34</v>
      </c>
      <c r="G220" s="302">
        <v>13.885999999999999</v>
      </c>
      <c r="H220" s="304">
        <f>J220+K220+L220+I220</f>
        <v>37617.279999999999</v>
      </c>
      <c r="I220" s="327">
        <v>36152.103999999999</v>
      </c>
      <c r="J220" s="101"/>
      <c r="K220" s="101">
        <f>37617.28-I220</f>
        <v>1465.1759999999995</v>
      </c>
      <c r="L220" s="101">
        <v>0</v>
      </c>
      <c r="M220" s="101">
        <f t="shared" ref="M220:M231" si="96">J220+K220+L220</f>
        <v>1465.1759999999995</v>
      </c>
      <c r="N220" s="359">
        <v>43586</v>
      </c>
      <c r="O220" s="359">
        <v>43983</v>
      </c>
      <c r="P220" s="359">
        <v>44013</v>
      </c>
      <c r="Q220" s="359">
        <v>44166</v>
      </c>
      <c r="R220" s="466"/>
    </row>
    <row r="221" spans="1:18" ht="14.25" customHeight="1" x14ac:dyDescent="0.2">
      <c r="A221" s="464"/>
      <c r="B221" s="465"/>
      <c r="C221" s="350">
        <v>2022</v>
      </c>
      <c r="D221" s="302">
        <v>0</v>
      </c>
      <c r="E221" s="302">
        <v>0</v>
      </c>
      <c r="F221" s="302">
        <v>0</v>
      </c>
      <c r="G221" s="302"/>
      <c r="H221" s="304">
        <f>J221+K221+L221+I221</f>
        <v>0</v>
      </c>
      <c r="I221" s="327">
        <v>0</v>
      </c>
      <c r="J221" s="101"/>
      <c r="K221" s="101"/>
      <c r="L221" s="101">
        <v>0</v>
      </c>
      <c r="M221" s="101">
        <f t="shared" si="96"/>
        <v>0</v>
      </c>
      <c r="N221" s="97"/>
      <c r="O221" s="97"/>
      <c r="P221" s="97"/>
      <c r="Q221" s="97"/>
      <c r="R221" s="466"/>
    </row>
    <row r="222" spans="1:18" ht="14.25" customHeight="1" x14ac:dyDescent="0.2">
      <c r="A222" s="464"/>
      <c r="B222" s="465"/>
      <c r="C222" s="350" t="s">
        <v>39</v>
      </c>
      <c r="D222" s="302"/>
      <c r="E222" s="381"/>
      <c r="F222" s="302"/>
      <c r="G222" s="302"/>
      <c r="H222" s="304">
        <f>J222+K222+L222+I222</f>
        <v>0</v>
      </c>
      <c r="I222" s="327">
        <v>0</v>
      </c>
      <c r="J222" s="101">
        <v>0</v>
      </c>
      <c r="K222" s="101"/>
      <c r="L222" s="101">
        <v>0</v>
      </c>
      <c r="M222" s="101">
        <f t="shared" si="96"/>
        <v>0</v>
      </c>
      <c r="N222" s="97"/>
      <c r="O222" s="97"/>
      <c r="P222" s="97"/>
      <c r="Q222" s="97"/>
      <c r="R222" s="466"/>
    </row>
    <row r="223" spans="1:18" ht="14.25" customHeight="1" x14ac:dyDescent="0.2">
      <c r="A223" s="464"/>
      <c r="B223" s="465"/>
      <c r="C223" s="350" t="s">
        <v>191</v>
      </c>
      <c r="D223" s="302"/>
      <c r="E223" s="302"/>
      <c r="F223" s="302"/>
      <c r="G223" s="302"/>
      <c r="H223" s="304">
        <f>J223+K223+L223+I223</f>
        <v>0</v>
      </c>
      <c r="I223" s="327">
        <v>0</v>
      </c>
      <c r="J223" s="101">
        <v>0</v>
      </c>
      <c r="K223" s="101">
        <v>0</v>
      </c>
      <c r="L223" s="101">
        <v>0</v>
      </c>
      <c r="M223" s="101">
        <f t="shared" si="96"/>
        <v>0</v>
      </c>
      <c r="N223" s="97"/>
      <c r="O223" s="97"/>
      <c r="P223" s="97"/>
      <c r="Q223" s="97"/>
      <c r="R223" s="466"/>
    </row>
    <row r="224" spans="1:18" ht="14.25" customHeight="1" x14ac:dyDescent="0.2">
      <c r="A224" s="464"/>
      <c r="B224" s="465"/>
      <c r="C224" s="350">
        <v>2025</v>
      </c>
      <c r="D224" s="302"/>
      <c r="E224" s="302"/>
      <c r="F224" s="302"/>
      <c r="G224" s="302"/>
      <c r="H224" s="304">
        <f>J224+K224+L224+I224</f>
        <v>0</v>
      </c>
      <c r="I224" s="327">
        <v>0</v>
      </c>
      <c r="J224" s="101">
        <v>0</v>
      </c>
      <c r="K224" s="101">
        <v>0</v>
      </c>
      <c r="L224" s="101">
        <v>0</v>
      </c>
      <c r="M224" s="101">
        <f t="shared" si="96"/>
        <v>0</v>
      </c>
      <c r="N224" s="97"/>
      <c r="O224" s="97"/>
      <c r="P224" s="97"/>
      <c r="Q224" s="97"/>
      <c r="R224" s="466"/>
    </row>
    <row r="225" spans="1:18" ht="14.25" customHeight="1" x14ac:dyDescent="0.2">
      <c r="A225" s="464"/>
      <c r="B225" s="465"/>
      <c r="C225" s="350" t="s">
        <v>26</v>
      </c>
      <c r="D225" s="382">
        <f t="shared" ref="D225:L225" si="97">SUM(D220:D224)</f>
        <v>570</v>
      </c>
      <c r="E225" s="382">
        <f t="shared" si="97"/>
        <v>1494.4</v>
      </c>
      <c r="F225" s="382">
        <f t="shared" si="97"/>
        <v>2.34</v>
      </c>
      <c r="G225" s="382">
        <f t="shared" si="97"/>
        <v>13.885999999999999</v>
      </c>
      <c r="H225" s="382">
        <f t="shared" si="97"/>
        <v>37617.279999999999</v>
      </c>
      <c r="I225" s="302">
        <f t="shared" si="97"/>
        <v>36152.103999999999</v>
      </c>
      <c r="J225" s="101">
        <f t="shared" si="97"/>
        <v>0</v>
      </c>
      <c r="K225" s="101">
        <f t="shared" si="97"/>
        <v>1465.1759999999995</v>
      </c>
      <c r="L225" s="101">
        <f t="shared" si="97"/>
        <v>0</v>
      </c>
      <c r="M225" s="101">
        <f t="shared" si="96"/>
        <v>1465.1759999999995</v>
      </c>
      <c r="N225" s="97"/>
      <c r="O225" s="97"/>
      <c r="P225" s="97"/>
      <c r="Q225" s="97"/>
      <c r="R225" s="466"/>
    </row>
    <row r="226" spans="1:18" x14ac:dyDescent="0.2">
      <c r="A226" s="502" t="s">
        <v>29</v>
      </c>
      <c r="B226" s="502"/>
      <c r="C226" s="350">
        <v>2021</v>
      </c>
      <c r="D226" s="382">
        <f>D214+D220</f>
        <v>570</v>
      </c>
      <c r="E226" s="382">
        <f t="shared" ref="E226:L226" si="98">E214+E220</f>
        <v>1494.4</v>
      </c>
      <c r="F226" s="382">
        <f t="shared" si="98"/>
        <v>2.34</v>
      </c>
      <c r="G226" s="382">
        <f t="shared" si="98"/>
        <v>13.885999999999999</v>
      </c>
      <c r="H226" s="382">
        <f t="shared" si="98"/>
        <v>37617.279999999999</v>
      </c>
      <c r="I226" s="382">
        <f t="shared" si="98"/>
        <v>36152.103999999999</v>
      </c>
      <c r="J226" s="382">
        <f t="shared" si="98"/>
        <v>0</v>
      </c>
      <c r="K226" s="382">
        <f t="shared" si="98"/>
        <v>1465.1759999999995</v>
      </c>
      <c r="L226" s="382">
        <f t="shared" si="98"/>
        <v>0</v>
      </c>
      <c r="M226" s="101">
        <f>J226+K226+L226</f>
        <v>1465.1759999999995</v>
      </c>
      <c r="N226" s="97"/>
      <c r="O226" s="97"/>
      <c r="P226" s="97"/>
      <c r="Q226" s="97"/>
      <c r="R226" s="466"/>
    </row>
    <row r="227" spans="1:18" x14ac:dyDescent="0.2">
      <c r="A227" s="502"/>
      <c r="B227" s="502"/>
      <c r="C227" s="350">
        <v>2022</v>
      </c>
      <c r="D227" s="382">
        <f t="shared" ref="D227:L230" si="99">D215+D221</f>
        <v>0</v>
      </c>
      <c r="E227" s="382">
        <f t="shared" si="99"/>
        <v>0</v>
      </c>
      <c r="F227" s="382">
        <f t="shared" si="99"/>
        <v>0</v>
      </c>
      <c r="G227" s="382">
        <f t="shared" si="99"/>
        <v>0</v>
      </c>
      <c r="H227" s="382">
        <f t="shared" si="99"/>
        <v>0</v>
      </c>
      <c r="I227" s="382">
        <f t="shared" si="99"/>
        <v>0</v>
      </c>
      <c r="J227" s="382">
        <f>J215+J221</f>
        <v>0</v>
      </c>
      <c r="K227" s="382">
        <f t="shared" si="99"/>
        <v>0</v>
      </c>
      <c r="L227" s="382">
        <f t="shared" si="99"/>
        <v>0</v>
      </c>
      <c r="M227" s="101">
        <f t="shared" si="96"/>
        <v>0</v>
      </c>
      <c r="N227" s="101"/>
      <c r="O227" s="97"/>
      <c r="P227" s="97"/>
      <c r="Q227" s="97"/>
      <c r="R227" s="466"/>
    </row>
    <row r="228" spans="1:18" x14ac:dyDescent="0.2">
      <c r="A228" s="502"/>
      <c r="B228" s="502"/>
      <c r="C228" s="350" t="s">
        <v>39</v>
      </c>
      <c r="D228" s="382">
        <f t="shared" si="99"/>
        <v>0</v>
      </c>
      <c r="E228" s="382">
        <f t="shared" si="99"/>
        <v>0</v>
      </c>
      <c r="F228" s="382">
        <f t="shared" si="99"/>
        <v>0</v>
      </c>
      <c r="G228" s="382">
        <f t="shared" si="99"/>
        <v>0</v>
      </c>
      <c r="H228" s="382">
        <f t="shared" si="99"/>
        <v>0</v>
      </c>
      <c r="I228" s="382">
        <f t="shared" si="99"/>
        <v>0</v>
      </c>
      <c r="J228" s="382">
        <f t="shared" si="99"/>
        <v>0</v>
      </c>
      <c r="K228" s="382">
        <f t="shared" si="99"/>
        <v>0</v>
      </c>
      <c r="L228" s="382">
        <f t="shared" si="99"/>
        <v>0</v>
      </c>
      <c r="M228" s="101">
        <f t="shared" si="96"/>
        <v>0</v>
      </c>
      <c r="N228" s="97"/>
      <c r="O228" s="97"/>
      <c r="P228" s="97"/>
      <c r="Q228" s="97"/>
      <c r="R228" s="466"/>
    </row>
    <row r="229" spans="1:18" x14ac:dyDescent="0.2">
      <c r="A229" s="502"/>
      <c r="B229" s="502"/>
      <c r="C229" s="350" t="s">
        <v>191</v>
      </c>
      <c r="D229" s="382">
        <f t="shared" si="99"/>
        <v>0</v>
      </c>
      <c r="E229" s="382">
        <f t="shared" si="99"/>
        <v>0</v>
      </c>
      <c r="F229" s="382">
        <f t="shared" si="99"/>
        <v>0</v>
      </c>
      <c r="G229" s="382">
        <f t="shared" si="99"/>
        <v>0</v>
      </c>
      <c r="H229" s="382">
        <f t="shared" si="99"/>
        <v>0</v>
      </c>
      <c r="I229" s="382">
        <f t="shared" si="99"/>
        <v>0</v>
      </c>
      <c r="J229" s="382">
        <f t="shared" si="99"/>
        <v>0</v>
      </c>
      <c r="K229" s="382">
        <f t="shared" si="99"/>
        <v>0</v>
      </c>
      <c r="L229" s="382">
        <f t="shared" si="99"/>
        <v>0</v>
      </c>
      <c r="M229" s="101">
        <f t="shared" si="96"/>
        <v>0</v>
      </c>
      <c r="N229" s="97"/>
      <c r="O229" s="97"/>
      <c r="P229" s="97"/>
      <c r="Q229" s="97"/>
      <c r="R229" s="466"/>
    </row>
    <row r="230" spans="1:18" x14ac:dyDescent="0.2">
      <c r="A230" s="502"/>
      <c r="B230" s="502"/>
      <c r="C230" s="350">
        <v>2025</v>
      </c>
      <c r="D230" s="382">
        <f t="shared" si="99"/>
        <v>0</v>
      </c>
      <c r="E230" s="382">
        <f t="shared" si="99"/>
        <v>0</v>
      </c>
      <c r="F230" s="382">
        <f t="shared" si="99"/>
        <v>0</v>
      </c>
      <c r="G230" s="382">
        <f t="shared" si="99"/>
        <v>0</v>
      </c>
      <c r="H230" s="382">
        <f t="shared" si="99"/>
        <v>0</v>
      </c>
      <c r="I230" s="382">
        <f t="shared" si="99"/>
        <v>0</v>
      </c>
      <c r="J230" s="382">
        <f t="shared" si="99"/>
        <v>0</v>
      </c>
      <c r="K230" s="382">
        <f t="shared" si="99"/>
        <v>0</v>
      </c>
      <c r="L230" s="382">
        <f t="shared" si="99"/>
        <v>0</v>
      </c>
      <c r="M230" s="101">
        <f t="shared" si="96"/>
        <v>0</v>
      </c>
      <c r="N230" s="97"/>
      <c r="O230" s="97"/>
      <c r="P230" s="97"/>
      <c r="Q230" s="97"/>
      <c r="R230" s="466"/>
    </row>
    <row r="231" spans="1:18" x14ac:dyDescent="0.2">
      <c r="A231" s="502"/>
      <c r="B231" s="502"/>
      <c r="C231" s="350" t="s">
        <v>12</v>
      </c>
      <c r="D231" s="382">
        <f>SUM(D226:D230)</f>
        <v>570</v>
      </c>
      <c r="E231" s="382">
        <f t="shared" ref="E231:L231" si="100">SUM(E226:E230)</f>
        <v>1494.4</v>
      </c>
      <c r="F231" s="382">
        <f t="shared" si="100"/>
        <v>2.34</v>
      </c>
      <c r="G231" s="382">
        <f t="shared" si="100"/>
        <v>13.885999999999999</v>
      </c>
      <c r="H231" s="304">
        <f t="shared" si="100"/>
        <v>37617.279999999999</v>
      </c>
      <c r="I231" s="327">
        <f t="shared" si="100"/>
        <v>36152.103999999999</v>
      </c>
      <c r="J231" s="101">
        <f t="shared" si="100"/>
        <v>0</v>
      </c>
      <c r="K231" s="101">
        <f t="shared" si="100"/>
        <v>1465.1759999999995</v>
      </c>
      <c r="L231" s="101">
        <f t="shared" si="100"/>
        <v>0</v>
      </c>
      <c r="M231" s="101">
        <f t="shared" si="96"/>
        <v>1465.1759999999995</v>
      </c>
      <c r="N231" s="97"/>
      <c r="O231" s="97"/>
      <c r="P231" s="97"/>
      <c r="Q231" s="97"/>
      <c r="R231" s="466"/>
    </row>
    <row r="232" spans="1:18" x14ac:dyDescent="0.2">
      <c r="A232" s="423" t="s">
        <v>11</v>
      </c>
      <c r="B232" s="424"/>
      <c r="C232" s="147"/>
      <c r="D232" s="148"/>
      <c r="E232" s="342"/>
      <c r="F232" s="148"/>
      <c r="G232" s="148"/>
      <c r="H232" s="147"/>
      <c r="I232" s="147"/>
      <c r="J232" s="151"/>
      <c r="K232" s="151"/>
      <c r="L232" s="151"/>
      <c r="M232" s="151"/>
      <c r="N232" s="147"/>
      <c r="O232" s="147"/>
      <c r="P232" s="147"/>
      <c r="Q232" s="147"/>
      <c r="R232" s="82"/>
    </row>
    <row r="233" spans="1:18" x14ac:dyDescent="0.2">
      <c r="A233" s="411">
        <v>29</v>
      </c>
      <c r="B233" s="487" t="s">
        <v>76</v>
      </c>
      <c r="C233" s="325">
        <v>2021</v>
      </c>
      <c r="D233" s="302"/>
      <c r="E233" s="302"/>
      <c r="F233" s="302"/>
      <c r="G233" s="302"/>
      <c r="H233" s="304">
        <f>I233+J233+K233+L233</f>
        <v>0</v>
      </c>
      <c r="I233" s="326">
        <v>0</v>
      </c>
      <c r="J233" s="296">
        <v>0</v>
      </c>
      <c r="K233" s="296">
        <v>0</v>
      </c>
      <c r="L233" s="296">
        <v>0</v>
      </c>
      <c r="M233" s="101">
        <f t="shared" ref="M233:M244" si="101">J233+K233+L233</f>
        <v>0</v>
      </c>
      <c r="N233" s="323"/>
      <c r="O233" s="323"/>
      <c r="P233" s="323"/>
      <c r="Q233" s="323"/>
      <c r="R233" s="445"/>
    </row>
    <row r="234" spans="1:18" x14ac:dyDescent="0.2">
      <c r="A234" s="411"/>
      <c r="B234" s="487"/>
      <c r="C234" s="325">
        <v>2022</v>
      </c>
      <c r="D234" s="302"/>
      <c r="E234" s="302"/>
      <c r="F234" s="302"/>
      <c r="G234" s="302"/>
      <c r="H234" s="304">
        <f>I234+J234+K234+L234</f>
        <v>0</v>
      </c>
      <c r="I234" s="326">
        <v>0</v>
      </c>
      <c r="J234" s="296"/>
      <c r="K234" s="296">
        <f>G233*4000</f>
        <v>0</v>
      </c>
      <c r="L234" s="296">
        <v>0</v>
      </c>
      <c r="M234" s="101">
        <f t="shared" si="101"/>
        <v>0</v>
      </c>
      <c r="N234" s="323"/>
      <c r="O234" s="323"/>
      <c r="P234" s="323"/>
      <c r="Q234" s="323"/>
      <c r="R234" s="445"/>
    </row>
    <row r="235" spans="1:18" x14ac:dyDescent="0.2">
      <c r="A235" s="411"/>
      <c r="B235" s="487"/>
      <c r="C235" s="325" t="s">
        <v>39</v>
      </c>
      <c r="D235" s="302"/>
      <c r="E235" s="302"/>
      <c r="F235" s="302"/>
      <c r="G235" s="302"/>
      <c r="H235" s="304">
        <f>I235+J235+K235+L235</f>
        <v>0</v>
      </c>
      <c r="I235" s="326">
        <v>0</v>
      </c>
      <c r="J235" s="296"/>
      <c r="K235" s="296"/>
      <c r="L235" s="296">
        <v>0</v>
      </c>
      <c r="M235" s="101">
        <f t="shared" si="101"/>
        <v>0</v>
      </c>
      <c r="N235" s="323"/>
      <c r="O235" s="323"/>
      <c r="P235" s="323"/>
      <c r="Q235" s="323"/>
      <c r="R235" s="445"/>
    </row>
    <row r="236" spans="1:18" x14ac:dyDescent="0.2">
      <c r="A236" s="411"/>
      <c r="B236" s="487"/>
      <c r="C236" s="325" t="s">
        <v>191</v>
      </c>
      <c r="D236" s="302">
        <v>92</v>
      </c>
      <c r="E236" s="302">
        <v>129.01</v>
      </c>
      <c r="F236" s="302">
        <v>0.3</v>
      </c>
      <c r="G236" s="302">
        <v>3.5</v>
      </c>
      <c r="H236" s="304">
        <f>I236+J236+K236+L236</f>
        <v>5300</v>
      </c>
      <c r="I236" s="326">
        <v>0</v>
      </c>
      <c r="J236" s="296">
        <v>2300</v>
      </c>
      <c r="K236" s="296">
        <v>3000</v>
      </c>
      <c r="L236" s="296">
        <v>0</v>
      </c>
      <c r="M236" s="101">
        <f t="shared" si="101"/>
        <v>5300</v>
      </c>
      <c r="N236" s="323" t="s">
        <v>52</v>
      </c>
      <c r="O236" s="323" t="s">
        <v>53</v>
      </c>
      <c r="P236" s="323" t="s">
        <v>57</v>
      </c>
      <c r="Q236" s="323"/>
      <c r="R236" s="445"/>
    </row>
    <row r="237" spans="1:18" x14ac:dyDescent="0.2">
      <c r="A237" s="411"/>
      <c r="B237" s="487"/>
      <c r="C237" s="325">
        <v>2025</v>
      </c>
      <c r="D237" s="302"/>
      <c r="E237" s="302"/>
      <c r="F237" s="302"/>
      <c r="G237" s="302"/>
      <c r="H237" s="304">
        <f>I237+J237+K237+L237</f>
        <v>18600</v>
      </c>
      <c r="I237" s="326">
        <v>0</v>
      </c>
      <c r="J237" s="296"/>
      <c r="K237" s="296">
        <f>18600</f>
        <v>18600</v>
      </c>
      <c r="L237" s="296">
        <v>0</v>
      </c>
      <c r="M237" s="101">
        <f t="shared" si="101"/>
        <v>18600</v>
      </c>
      <c r="N237" s="323"/>
      <c r="O237" s="323"/>
      <c r="P237" s="323"/>
      <c r="Q237" s="323" t="s">
        <v>51</v>
      </c>
      <c r="R237" s="445"/>
    </row>
    <row r="238" spans="1:18" x14ac:dyDescent="0.2">
      <c r="A238" s="411"/>
      <c r="B238" s="487"/>
      <c r="C238" s="325" t="s">
        <v>26</v>
      </c>
      <c r="D238" s="302">
        <f t="shared" ref="D238:L238" si="102">SUM(D233:D237)</f>
        <v>92</v>
      </c>
      <c r="E238" s="302">
        <f t="shared" si="102"/>
        <v>129.01</v>
      </c>
      <c r="F238" s="302">
        <f t="shared" si="102"/>
        <v>0.3</v>
      </c>
      <c r="G238" s="302">
        <f t="shared" si="102"/>
        <v>3.5</v>
      </c>
      <c r="H238" s="327">
        <f t="shared" si="102"/>
        <v>23900</v>
      </c>
      <c r="I238" s="327">
        <f t="shared" si="102"/>
        <v>0</v>
      </c>
      <c r="J238" s="101">
        <f t="shared" si="102"/>
        <v>2300</v>
      </c>
      <c r="K238" s="101">
        <f t="shared" si="102"/>
        <v>21600</v>
      </c>
      <c r="L238" s="101">
        <f t="shared" si="102"/>
        <v>0</v>
      </c>
      <c r="M238" s="101">
        <f t="shared" si="101"/>
        <v>23900</v>
      </c>
      <c r="N238" s="323"/>
      <c r="O238" s="323"/>
      <c r="P238" s="323"/>
      <c r="Q238" s="323"/>
      <c r="R238" s="445"/>
    </row>
    <row r="239" spans="1:18" x14ac:dyDescent="0.2">
      <c r="A239" s="511" t="s">
        <v>29</v>
      </c>
      <c r="B239" s="511"/>
      <c r="C239" s="325">
        <v>2021</v>
      </c>
      <c r="D239" s="302">
        <f>D233</f>
        <v>0</v>
      </c>
      <c r="E239" s="302">
        <f t="shared" ref="E239:L239" si="103">E233</f>
        <v>0</v>
      </c>
      <c r="F239" s="302">
        <f t="shared" si="103"/>
        <v>0</v>
      </c>
      <c r="G239" s="302">
        <f t="shared" si="103"/>
        <v>0</v>
      </c>
      <c r="H239" s="302">
        <f>H233</f>
        <v>0</v>
      </c>
      <c r="I239" s="302">
        <f t="shared" si="103"/>
        <v>0</v>
      </c>
      <c r="J239" s="101">
        <f t="shared" si="103"/>
        <v>0</v>
      </c>
      <c r="K239" s="101">
        <f t="shared" si="103"/>
        <v>0</v>
      </c>
      <c r="L239" s="101">
        <f t="shared" si="103"/>
        <v>0</v>
      </c>
      <c r="M239" s="101">
        <f t="shared" si="101"/>
        <v>0</v>
      </c>
      <c r="N239" s="323"/>
      <c r="O239" s="323"/>
      <c r="P239" s="323"/>
      <c r="Q239" s="323"/>
      <c r="R239" s="446"/>
    </row>
    <row r="240" spans="1:18" x14ac:dyDescent="0.2">
      <c r="A240" s="511"/>
      <c r="B240" s="511"/>
      <c r="C240" s="325">
        <v>2022</v>
      </c>
      <c r="D240" s="302">
        <f t="shared" ref="D240:L243" si="104">D234</f>
        <v>0</v>
      </c>
      <c r="E240" s="302">
        <f t="shared" si="104"/>
        <v>0</v>
      </c>
      <c r="F240" s="302">
        <f t="shared" si="104"/>
        <v>0</v>
      </c>
      <c r="G240" s="302">
        <f t="shared" si="104"/>
        <v>0</v>
      </c>
      <c r="H240" s="302">
        <f t="shared" si="104"/>
        <v>0</v>
      </c>
      <c r="I240" s="302">
        <f t="shared" si="104"/>
        <v>0</v>
      </c>
      <c r="J240" s="101">
        <f t="shared" si="104"/>
        <v>0</v>
      </c>
      <c r="K240" s="101">
        <f t="shared" si="104"/>
        <v>0</v>
      </c>
      <c r="L240" s="101">
        <f t="shared" si="104"/>
        <v>0</v>
      </c>
      <c r="M240" s="101">
        <f t="shared" si="101"/>
        <v>0</v>
      </c>
      <c r="N240" s="323"/>
      <c r="O240" s="323"/>
      <c r="P240" s="323"/>
      <c r="Q240" s="323"/>
      <c r="R240" s="446"/>
    </row>
    <row r="241" spans="1:18" x14ac:dyDescent="0.2">
      <c r="A241" s="511"/>
      <c r="B241" s="511"/>
      <c r="C241" s="325" t="s">
        <v>39</v>
      </c>
      <c r="D241" s="302">
        <f t="shared" si="104"/>
        <v>0</v>
      </c>
      <c r="E241" s="302">
        <f t="shared" si="104"/>
        <v>0</v>
      </c>
      <c r="F241" s="302">
        <f t="shared" si="104"/>
        <v>0</v>
      </c>
      <c r="G241" s="302">
        <f t="shared" si="104"/>
        <v>0</v>
      </c>
      <c r="H241" s="302">
        <f t="shared" si="104"/>
        <v>0</v>
      </c>
      <c r="I241" s="302">
        <f t="shared" si="104"/>
        <v>0</v>
      </c>
      <c r="J241" s="101">
        <f t="shared" si="104"/>
        <v>0</v>
      </c>
      <c r="K241" s="101">
        <f t="shared" si="104"/>
        <v>0</v>
      </c>
      <c r="L241" s="101">
        <f t="shared" si="104"/>
        <v>0</v>
      </c>
      <c r="M241" s="101">
        <f t="shared" si="101"/>
        <v>0</v>
      </c>
      <c r="N241" s="323"/>
      <c r="O241" s="323"/>
      <c r="P241" s="323"/>
      <c r="Q241" s="323"/>
      <c r="R241" s="446"/>
    </row>
    <row r="242" spans="1:18" x14ac:dyDescent="0.2">
      <c r="A242" s="511"/>
      <c r="B242" s="511"/>
      <c r="C242" s="325" t="s">
        <v>191</v>
      </c>
      <c r="D242" s="302">
        <f t="shared" si="104"/>
        <v>92</v>
      </c>
      <c r="E242" s="302">
        <f t="shared" si="104"/>
        <v>129.01</v>
      </c>
      <c r="F242" s="302">
        <f t="shared" si="104"/>
        <v>0.3</v>
      </c>
      <c r="G242" s="302">
        <f t="shared" si="104"/>
        <v>3.5</v>
      </c>
      <c r="H242" s="302">
        <f t="shared" si="104"/>
        <v>5300</v>
      </c>
      <c r="I242" s="302">
        <f t="shared" si="104"/>
        <v>0</v>
      </c>
      <c r="J242" s="101">
        <f t="shared" si="104"/>
        <v>2300</v>
      </c>
      <c r="K242" s="101">
        <f t="shared" si="104"/>
        <v>3000</v>
      </c>
      <c r="L242" s="101">
        <f t="shared" si="104"/>
        <v>0</v>
      </c>
      <c r="M242" s="101">
        <f t="shared" si="101"/>
        <v>5300</v>
      </c>
      <c r="N242" s="323"/>
      <c r="O242" s="323"/>
      <c r="P242" s="323"/>
      <c r="Q242" s="323"/>
      <c r="R242" s="446"/>
    </row>
    <row r="243" spans="1:18" x14ac:dyDescent="0.2">
      <c r="A243" s="511"/>
      <c r="B243" s="511"/>
      <c r="C243" s="325">
        <v>2025</v>
      </c>
      <c r="D243" s="302">
        <f>D237</f>
        <v>0</v>
      </c>
      <c r="E243" s="302">
        <f t="shared" si="104"/>
        <v>0</v>
      </c>
      <c r="F243" s="302">
        <f t="shared" si="104"/>
        <v>0</v>
      </c>
      <c r="G243" s="302">
        <f t="shared" si="104"/>
        <v>0</v>
      </c>
      <c r="H243" s="302">
        <f t="shared" si="104"/>
        <v>18600</v>
      </c>
      <c r="I243" s="302">
        <f t="shared" si="104"/>
        <v>0</v>
      </c>
      <c r="J243" s="101">
        <f t="shared" si="104"/>
        <v>0</v>
      </c>
      <c r="K243" s="101">
        <f t="shared" si="104"/>
        <v>18600</v>
      </c>
      <c r="L243" s="101">
        <f t="shared" si="104"/>
        <v>0</v>
      </c>
      <c r="M243" s="101">
        <f t="shared" si="101"/>
        <v>18600</v>
      </c>
      <c r="N243" s="323"/>
      <c r="O243" s="323"/>
      <c r="P243" s="323"/>
      <c r="Q243" s="323"/>
      <c r="R243" s="446"/>
    </row>
    <row r="244" spans="1:18" x14ac:dyDescent="0.2">
      <c r="A244" s="511"/>
      <c r="B244" s="511"/>
      <c r="C244" s="325" t="s">
        <v>12</v>
      </c>
      <c r="D244" s="302">
        <f>SUM(D239:D243)</f>
        <v>92</v>
      </c>
      <c r="E244" s="302">
        <f>SUM(E239:E243)</f>
        <v>129.01</v>
      </c>
      <c r="F244" s="302">
        <f t="shared" ref="F244:L244" si="105">SUM(F239:F243)</f>
        <v>0.3</v>
      </c>
      <c r="G244" s="302">
        <f t="shared" si="105"/>
        <v>3.5</v>
      </c>
      <c r="H244" s="302">
        <f>SUM(H239:H243)</f>
        <v>23900</v>
      </c>
      <c r="I244" s="302">
        <f t="shared" si="105"/>
        <v>0</v>
      </c>
      <c r="J244" s="101">
        <f t="shared" si="105"/>
        <v>2300</v>
      </c>
      <c r="K244" s="101">
        <f t="shared" si="105"/>
        <v>21600</v>
      </c>
      <c r="L244" s="101">
        <f t="shared" si="105"/>
        <v>0</v>
      </c>
      <c r="M244" s="101">
        <f t="shared" si="101"/>
        <v>23900</v>
      </c>
      <c r="N244" s="323"/>
      <c r="O244" s="323"/>
      <c r="P244" s="323"/>
      <c r="Q244" s="323"/>
      <c r="R244" s="446"/>
    </row>
    <row r="245" spans="1:18" x14ac:dyDescent="0.2">
      <c r="A245" s="423" t="s">
        <v>113</v>
      </c>
      <c r="B245" s="424"/>
      <c r="C245" s="147"/>
      <c r="D245" s="148"/>
      <c r="E245" s="342"/>
      <c r="F245" s="148"/>
      <c r="G245" s="148"/>
      <c r="H245" s="147"/>
      <c r="I245" s="147"/>
      <c r="J245" s="151"/>
      <c r="K245" s="151"/>
      <c r="L245" s="151"/>
      <c r="M245" s="151"/>
      <c r="N245" s="147"/>
      <c r="O245" s="147"/>
      <c r="P245" s="147"/>
      <c r="Q245" s="147"/>
      <c r="R245" s="82"/>
    </row>
    <row r="246" spans="1:18" ht="13.5" customHeight="1" x14ac:dyDescent="0.2">
      <c r="A246" s="411">
        <v>30</v>
      </c>
      <c r="B246" s="487" t="s">
        <v>109</v>
      </c>
      <c r="C246" s="325">
        <v>2021</v>
      </c>
      <c r="D246" s="302">
        <v>174</v>
      </c>
      <c r="E246" s="302">
        <v>258.3</v>
      </c>
      <c r="F246" s="302">
        <v>2.8</v>
      </c>
      <c r="G246" s="302">
        <v>3.8</v>
      </c>
      <c r="H246" s="304">
        <f>I246+J246+K246+L246</f>
        <v>3500</v>
      </c>
      <c r="I246" s="326">
        <v>498.26864</v>
      </c>
      <c r="J246" s="296">
        <f>3500-I246</f>
        <v>3001.7313599999998</v>
      </c>
      <c r="K246" s="296">
        <v>0</v>
      </c>
      <c r="L246" s="296">
        <v>0</v>
      </c>
      <c r="M246" s="101">
        <f t="shared" ref="M246:M257" si="106">J246+K246+L246</f>
        <v>3001.7313599999998</v>
      </c>
      <c r="N246" s="366">
        <v>43983</v>
      </c>
      <c r="O246" s="366" t="s">
        <v>31</v>
      </c>
      <c r="P246" s="323"/>
      <c r="Q246" s="323"/>
      <c r="R246" s="445"/>
    </row>
    <row r="247" spans="1:18" ht="15.75" customHeight="1" x14ac:dyDescent="0.2">
      <c r="A247" s="411"/>
      <c r="B247" s="487"/>
      <c r="C247" s="325">
        <v>2022</v>
      </c>
      <c r="D247" s="302"/>
      <c r="E247" s="302"/>
      <c r="F247" s="302"/>
      <c r="G247" s="302"/>
      <c r="H247" s="304">
        <f>I247+J247+K247+L247</f>
        <v>16212</v>
      </c>
      <c r="I247" s="326">
        <v>0</v>
      </c>
      <c r="J247" s="296"/>
      <c r="K247" s="296">
        <v>16212</v>
      </c>
      <c r="L247" s="296">
        <v>0</v>
      </c>
      <c r="M247" s="101">
        <f t="shared" si="106"/>
        <v>16212</v>
      </c>
      <c r="N247" s="323"/>
      <c r="O247" s="366"/>
      <c r="P247" s="323" t="s">
        <v>28</v>
      </c>
      <c r="Q247" s="323" t="s">
        <v>55</v>
      </c>
      <c r="R247" s="445"/>
    </row>
    <row r="248" spans="1:18" ht="13.5" customHeight="1" x14ac:dyDescent="0.2">
      <c r="A248" s="411"/>
      <c r="B248" s="487"/>
      <c r="C248" s="325" t="s">
        <v>39</v>
      </c>
      <c r="D248" s="302"/>
      <c r="E248" s="302"/>
      <c r="F248" s="302"/>
      <c r="G248" s="302"/>
      <c r="H248" s="304">
        <f>I248+J248+K248+L248</f>
        <v>0</v>
      </c>
      <c r="I248" s="326">
        <v>0</v>
      </c>
      <c r="J248" s="296"/>
      <c r="K248" s="296"/>
      <c r="L248" s="296">
        <v>0</v>
      </c>
      <c r="M248" s="101">
        <f>J248+K248+L248</f>
        <v>0</v>
      </c>
      <c r="N248" s="323"/>
      <c r="O248" s="323"/>
      <c r="P248" s="323"/>
      <c r="Q248" s="323"/>
      <c r="R248" s="445"/>
    </row>
    <row r="249" spans="1:18" ht="13.5" customHeight="1" x14ac:dyDescent="0.2">
      <c r="A249" s="411"/>
      <c r="B249" s="487"/>
      <c r="C249" s="325" t="s">
        <v>191</v>
      </c>
      <c r="D249" s="302"/>
      <c r="E249" s="302"/>
      <c r="F249" s="302"/>
      <c r="G249" s="302"/>
      <c r="H249" s="304">
        <f>I249+J249+K249+L249</f>
        <v>0</v>
      </c>
      <c r="I249" s="326">
        <v>0</v>
      </c>
      <c r="J249" s="296">
        <v>0</v>
      </c>
      <c r="K249" s="296">
        <v>0</v>
      </c>
      <c r="L249" s="296">
        <v>0</v>
      </c>
      <c r="M249" s="101">
        <f>J249+K249+L249</f>
        <v>0</v>
      </c>
      <c r="N249" s="323"/>
      <c r="O249" s="323"/>
      <c r="P249" s="323"/>
      <c r="Q249" s="323"/>
      <c r="R249" s="445"/>
    </row>
    <row r="250" spans="1:18" ht="13.5" customHeight="1" x14ac:dyDescent="0.2">
      <c r="A250" s="411"/>
      <c r="B250" s="487"/>
      <c r="C250" s="325">
        <v>2025</v>
      </c>
      <c r="D250" s="302"/>
      <c r="E250" s="302"/>
      <c r="F250" s="302"/>
      <c r="G250" s="302"/>
      <c r="H250" s="304">
        <f>I250+J250+K250+L250</f>
        <v>0</v>
      </c>
      <c r="I250" s="326">
        <v>0</v>
      </c>
      <c r="J250" s="296">
        <f>G250*1800-J249</f>
        <v>0</v>
      </c>
      <c r="K250" s="296">
        <f>G250*4500</f>
        <v>0</v>
      </c>
      <c r="L250" s="296">
        <v>0</v>
      </c>
      <c r="M250" s="101">
        <f t="shared" si="106"/>
        <v>0</v>
      </c>
      <c r="N250" s="323"/>
      <c r="O250" s="323"/>
      <c r="P250" s="323"/>
      <c r="Q250" s="323"/>
      <c r="R250" s="445"/>
    </row>
    <row r="251" spans="1:18" ht="13.5" customHeight="1" x14ac:dyDescent="0.2">
      <c r="A251" s="411"/>
      <c r="B251" s="487"/>
      <c r="C251" s="325" t="s">
        <v>26</v>
      </c>
      <c r="D251" s="302">
        <f t="shared" ref="D251:L251" si="107">SUM(D246:D250)</f>
        <v>174</v>
      </c>
      <c r="E251" s="302">
        <f t="shared" si="107"/>
        <v>258.3</v>
      </c>
      <c r="F251" s="302">
        <f t="shared" si="107"/>
        <v>2.8</v>
      </c>
      <c r="G251" s="302">
        <f t="shared" si="107"/>
        <v>3.8</v>
      </c>
      <c r="H251" s="327">
        <f t="shared" si="107"/>
        <v>19712</v>
      </c>
      <c r="I251" s="327">
        <f t="shared" si="107"/>
        <v>498.26864</v>
      </c>
      <c r="J251" s="101">
        <f t="shared" si="107"/>
        <v>3001.7313599999998</v>
      </c>
      <c r="K251" s="101">
        <f t="shared" si="107"/>
        <v>16212</v>
      </c>
      <c r="L251" s="101">
        <f t="shared" si="107"/>
        <v>0</v>
      </c>
      <c r="M251" s="101">
        <f t="shared" si="106"/>
        <v>19213.731359999998</v>
      </c>
      <c r="N251" s="323"/>
      <c r="O251" s="323"/>
      <c r="P251" s="323"/>
      <c r="Q251" s="323"/>
      <c r="R251" s="445"/>
    </row>
    <row r="252" spans="1:18" x14ac:dyDescent="0.2">
      <c r="A252" s="511" t="s">
        <v>29</v>
      </c>
      <c r="B252" s="511"/>
      <c r="C252" s="325">
        <v>2021</v>
      </c>
      <c r="D252" s="302">
        <f t="shared" ref="D252:L256" si="108">D246</f>
        <v>174</v>
      </c>
      <c r="E252" s="302">
        <f t="shared" si="108"/>
        <v>258.3</v>
      </c>
      <c r="F252" s="302">
        <f t="shared" si="108"/>
        <v>2.8</v>
      </c>
      <c r="G252" s="302">
        <f t="shared" si="108"/>
        <v>3.8</v>
      </c>
      <c r="H252" s="302">
        <f t="shared" si="108"/>
        <v>3500</v>
      </c>
      <c r="I252" s="302">
        <f t="shared" si="108"/>
        <v>498.26864</v>
      </c>
      <c r="J252" s="101">
        <f t="shared" si="108"/>
        <v>3001.7313599999998</v>
      </c>
      <c r="K252" s="101">
        <f t="shared" si="108"/>
        <v>0</v>
      </c>
      <c r="L252" s="101">
        <f t="shared" si="108"/>
        <v>0</v>
      </c>
      <c r="M252" s="101">
        <f t="shared" si="106"/>
        <v>3001.7313599999998</v>
      </c>
      <c r="N252" s="323"/>
      <c r="O252" s="323"/>
      <c r="P252" s="323"/>
      <c r="Q252" s="323"/>
      <c r="R252" s="446"/>
    </row>
    <row r="253" spans="1:18" x14ac:dyDescent="0.2">
      <c r="A253" s="511"/>
      <c r="B253" s="511"/>
      <c r="C253" s="325">
        <v>2022</v>
      </c>
      <c r="D253" s="302">
        <f t="shared" si="108"/>
        <v>0</v>
      </c>
      <c r="E253" s="302">
        <f t="shared" si="108"/>
        <v>0</v>
      </c>
      <c r="F253" s="302">
        <f t="shared" si="108"/>
        <v>0</v>
      </c>
      <c r="G253" s="302">
        <f t="shared" si="108"/>
        <v>0</v>
      </c>
      <c r="H253" s="302">
        <f t="shared" si="108"/>
        <v>16212</v>
      </c>
      <c r="I253" s="302">
        <f t="shared" si="108"/>
        <v>0</v>
      </c>
      <c r="J253" s="101">
        <f t="shared" si="108"/>
        <v>0</v>
      </c>
      <c r="K253" s="101">
        <f t="shared" si="108"/>
        <v>16212</v>
      </c>
      <c r="L253" s="101">
        <f t="shared" si="108"/>
        <v>0</v>
      </c>
      <c r="M253" s="101">
        <f t="shared" si="106"/>
        <v>16212</v>
      </c>
      <c r="N253" s="323"/>
      <c r="O253" s="323"/>
      <c r="P253" s="323"/>
      <c r="Q253" s="323"/>
      <c r="R253" s="446"/>
    </row>
    <row r="254" spans="1:18" x14ac:dyDescent="0.2">
      <c r="A254" s="511"/>
      <c r="B254" s="511"/>
      <c r="C254" s="325" t="s">
        <v>39</v>
      </c>
      <c r="D254" s="302">
        <f t="shared" si="108"/>
        <v>0</v>
      </c>
      <c r="E254" s="302">
        <f t="shared" si="108"/>
        <v>0</v>
      </c>
      <c r="F254" s="302">
        <f t="shared" si="108"/>
        <v>0</v>
      </c>
      <c r="G254" s="302">
        <f t="shared" si="108"/>
        <v>0</v>
      </c>
      <c r="H254" s="302">
        <f t="shared" si="108"/>
        <v>0</v>
      </c>
      <c r="I254" s="302">
        <f t="shared" si="108"/>
        <v>0</v>
      </c>
      <c r="J254" s="101">
        <f>J248</f>
        <v>0</v>
      </c>
      <c r="K254" s="101">
        <f>K248</f>
        <v>0</v>
      </c>
      <c r="L254" s="101">
        <f t="shared" si="108"/>
        <v>0</v>
      </c>
      <c r="M254" s="101">
        <f t="shared" si="106"/>
        <v>0</v>
      </c>
      <c r="N254" s="323"/>
      <c r="O254" s="323"/>
      <c r="P254" s="323"/>
      <c r="Q254" s="323"/>
      <c r="R254" s="446"/>
    </row>
    <row r="255" spans="1:18" x14ac:dyDescent="0.2">
      <c r="A255" s="511"/>
      <c r="B255" s="511"/>
      <c r="C255" s="325" t="s">
        <v>191</v>
      </c>
      <c r="D255" s="302">
        <f t="shared" si="108"/>
        <v>0</v>
      </c>
      <c r="E255" s="302">
        <f t="shared" si="108"/>
        <v>0</v>
      </c>
      <c r="F255" s="302">
        <f t="shared" si="108"/>
        <v>0</v>
      </c>
      <c r="G255" s="302">
        <f t="shared" si="108"/>
        <v>0</v>
      </c>
      <c r="H255" s="302">
        <f t="shared" si="108"/>
        <v>0</v>
      </c>
      <c r="I255" s="302">
        <f t="shared" si="108"/>
        <v>0</v>
      </c>
      <c r="J255" s="101">
        <f>J249</f>
        <v>0</v>
      </c>
      <c r="K255" s="101">
        <f>K249</f>
        <v>0</v>
      </c>
      <c r="L255" s="101">
        <f t="shared" si="108"/>
        <v>0</v>
      </c>
      <c r="M255" s="101">
        <f t="shared" si="106"/>
        <v>0</v>
      </c>
      <c r="N255" s="323"/>
      <c r="O255" s="323"/>
      <c r="P255" s="323"/>
      <c r="Q255" s="323"/>
      <c r="R255" s="446"/>
    </row>
    <row r="256" spans="1:18" x14ac:dyDescent="0.2">
      <c r="A256" s="511"/>
      <c r="B256" s="511"/>
      <c r="C256" s="325">
        <v>2025</v>
      </c>
      <c r="D256" s="302">
        <f>D250</f>
        <v>0</v>
      </c>
      <c r="E256" s="302">
        <f t="shared" si="108"/>
        <v>0</v>
      </c>
      <c r="F256" s="302">
        <f t="shared" si="108"/>
        <v>0</v>
      </c>
      <c r="G256" s="302">
        <f t="shared" si="108"/>
        <v>0</v>
      </c>
      <c r="H256" s="302">
        <f t="shared" si="108"/>
        <v>0</v>
      </c>
      <c r="I256" s="302">
        <f t="shared" si="108"/>
        <v>0</v>
      </c>
      <c r="J256" s="101">
        <f t="shared" si="108"/>
        <v>0</v>
      </c>
      <c r="K256" s="101">
        <f t="shared" si="108"/>
        <v>0</v>
      </c>
      <c r="L256" s="101">
        <f t="shared" si="108"/>
        <v>0</v>
      </c>
      <c r="M256" s="101">
        <f t="shared" si="106"/>
        <v>0</v>
      </c>
      <c r="N256" s="323"/>
      <c r="O256" s="323"/>
      <c r="P256" s="323"/>
      <c r="Q256" s="323"/>
      <c r="R256" s="446"/>
    </row>
    <row r="257" spans="1:18" x14ac:dyDescent="0.2">
      <c r="A257" s="511"/>
      <c r="B257" s="511"/>
      <c r="C257" s="325" t="s">
        <v>12</v>
      </c>
      <c r="D257" s="302">
        <f t="shared" ref="D257:L257" si="109">SUM(D252:D256)</f>
        <v>174</v>
      </c>
      <c r="E257" s="302">
        <f t="shared" si="109"/>
        <v>258.3</v>
      </c>
      <c r="F257" s="302">
        <f t="shared" si="109"/>
        <v>2.8</v>
      </c>
      <c r="G257" s="302">
        <f t="shared" si="109"/>
        <v>3.8</v>
      </c>
      <c r="H257" s="302">
        <f t="shared" si="109"/>
        <v>19712</v>
      </c>
      <c r="I257" s="302">
        <f t="shared" si="109"/>
        <v>498.26864</v>
      </c>
      <c r="J257" s="101">
        <f t="shared" si="109"/>
        <v>3001.7313599999998</v>
      </c>
      <c r="K257" s="101">
        <f t="shared" si="109"/>
        <v>16212</v>
      </c>
      <c r="L257" s="101">
        <f t="shared" si="109"/>
        <v>0</v>
      </c>
      <c r="M257" s="101">
        <f t="shared" si="106"/>
        <v>19213.731359999998</v>
      </c>
      <c r="N257" s="323"/>
      <c r="O257" s="323"/>
      <c r="P257" s="323"/>
      <c r="Q257" s="323"/>
      <c r="R257" s="446"/>
    </row>
    <row r="258" spans="1:18" ht="15.75" customHeight="1" x14ac:dyDescent="0.2">
      <c r="A258" s="473" t="s">
        <v>8</v>
      </c>
      <c r="B258" s="474"/>
      <c r="C258" s="7"/>
      <c r="D258" s="10"/>
      <c r="E258" s="346"/>
      <c r="F258" s="10"/>
      <c r="G258" s="10"/>
      <c r="H258" s="8"/>
      <c r="I258" s="7"/>
      <c r="J258" s="17"/>
      <c r="K258" s="17"/>
      <c r="L258" s="17"/>
      <c r="M258" s="17"/>
      <c r="N258" s="7"/>
      <c r="O258" s="7"/>
      <c r="P258" s="7"/>
      <c r="Q258" s="7"/>
    </row>
    <row r="259" spans="1:18" ht="15" hidden="1" customHeight="1" outlineLevel="1" x14ac:dyDescent="0.2">
      <c r="A259" s="464">
        <v>19</v>
      </c>
      <c r="B259" s="465"/>
      <c r="C259" s="350">
        <v>2021</v>
      </c>
      <c r="D259" s="346"/>
      <c r="E259" s="346"/>
      <c r="F259" s="345"/>
      <c r="G259" s="357"/>
      <c r="H259" s="383">
        <f>I259+J259+K259+L259</f>
        <v>0</v>
      </c>
      <c r="I259" s="384"/>
      <c r="J259" s="385"/>
      <c r="K259" s="385"/>
      <c r="L259" s="94"/>
      <c r="M259" s="94">
        <f t="shared" ref="M259:M294" si="110">J259+K259+L259</f>
        <v>0</v>
      </c>
      <c r="N259" s="97"/>
      <c r="O259" s="97"/>
      <c r="P259" s="97"/>
      <c r="Q259" s="97"/>
      <c r="R259" s="501" t="s">
        <v>100</v>
      </c>
    </row>
    <row r="260" spans="1:18" ht="15" hidden="1" customHeight="1" outlineLevel="1" x14ac:dyDescent="0.2">
      <c r="A260" s="464"/>
      <c r="B260" s="465"/>
      <c r="C260" s="350">
        <v>2022</v>
      </c>
      <c r="D260" s="346"/>
      <c r="E260" s="10"/>
      <c r="F260" s="345"/>
      <c r="G260" s="91"/>
      <c r="H260" s="351">
        <f>I260+J260+K260+L260</f>
        <v>0</v>
      </c>
      <c r="I260" s="386"/>
      <c r="J260" s="94"/>
      <c r="K260" s="94"/>
      <c r="L260" s="94"/>
      <c r="M260" s="94">
        <f t="shared" si="110"/>
        <v>0</v>
      </c>
      <c r="N260" s="97"/>
      <c r="O260" s="97"/>
      <c r="P260" s="97"/>
      <c r="Q260" s="97"/>
      <c r="R260" s="501"/>
    </row>
    <row r="261" spans="1:18" ht="15" hidden="1" customHeight="1" outlineLevel="1" x14ac:dyDescent="0.2">
      <c r="A261" s="464"/>
      <c r="B261" s="465"/>
      <c r="C261" s="350" t="s">
        <v>39</v>
      </c>
      <c r="D261" s="346"/>
      <c r="E261" s="10"/>
      <c r="F261" s="345"/>
      <c r="G261" s="91"/>
      <c r="H261" s="351">
        <f>I261+J261+K261+L261</f>
        <v>0</v>
      </c>
      <c r="I261" s="386"/>
      <c r="J261" s="94"/>
      <c r="K261" s="94"/>
      <c r="L261" s="94"/>
      <c r="M261" s="94">
        <f t="shared" si="110"/>
        <v>0</v>
      </c>
      <c r="N261" s="97"/>
      <c r="O261" s="97"/>
      <c r="P261" s="97"/>
      <c r="Q261" s="97"/>
      <c r="R261" s="501"/>
    </row>
    <row r="262" spans="1:18" ht="15" hidden="1" customHeight="1" outlineLevel="1" x14ac:dyDescent="0.2">
      <c r="A262" s="464"/>
      <c r="B262" s="465"/>
      <c r="C262" s="350" t="s">
        <v>191</v>
      </c>
      <c r="D262" s="346"/>
      <c r="E262" s="10"/>
      <c r="F262" s="345"/>
      <c r="G262" s="91"/>
      <c r="H262" s="351">
        <f>I262+J262+K262+L262</f>
        <v>0</v>
      </c>
      <c r="I262" s="386"/>
      <c r="J262" s="94"/>
      <c r="K262" s="94"/>
      <c r="L262" s="94"/>
      <c r="M262" s="94">
        <f t="shared" si="110"/>
        <v>0</v>
      </c>
      <c r="N262" s="97"/>
      <c r="O262" s="97"/>
      <c r="P262" s="97"/>
      <c r="Q262" s="97"/>
      <c r="R262" s="501"/>
    </row>
    <row r="263" spans="1:18" ht="15" hidden="1" customHeight="1" outlineLevel="1" x14ac:dyDescent="0.2">
      <c r="A263" s="464"/>
      <c r="B263" s="465"/>
      <c r="C263" s="350">
        <v>2025</v>
      </c>
      <c r="D263" s="346"/>
      <c r="E263" s="10"/>
      <c r="F263" s="345"/>
      <c r="G263" s="91"/>
      <c r="H263" s="305">
        <f>I263+J263+K263+L263</f>
        <v>0</v>
      </c>
      <c r="I263" s="386"/>
      <c r="J263" s="94"/>
      <c r="K263" s="94"/>
      <c r="L263" s="94"/>
      <c r="M263" s="94">
        <f t="shared" si="110"/>
        <v>0</v>
      </c>
      <c r="N263" s="97"/>
      <c r="O263" s="97"/>
      <c r="P263" s="97"/>
      <c r="Q263" s="97"/>
      <c r="R263" s="501"/>
    </row>
    <row r="264" spans="1:18" ht="14.25" hidden="1" customHeight="1" outlineLevel="1" x14ac:dyDescent="0.2">
      <c r="A264" s="464"/>
      <c r="B264" s="465"/>
      <c r="C264" s="350" t="s">
        <v>26</v>
      </c>
      <c r="D264" s="345">
        <f t="shared" ref="D264:I264" si="111">SUM(D259:D263)</f>
        <v>0</v>
      </c>
      <c r="E264" s="345">
        <f t="shared" si="111"/>
        <v>0</v>
      </c>
      <c r="F264" s="345">
        <f t="shared" si="111"/>
        <v>0</v>
      </c>
      <c r="G264" s="91">
        <f t="shared" si="111"/>
        <v>0</v>
      </c>
      <c r="H264" s="387">
        <f t="shared" si="111"/>
        <v>0</v>
      </c>
      <c r="I264" s="386">
        <f t="shared" si="111"/>
        <v>0</v>
      </c>
      <c r="J264" s="94">
        <f>SUM(J259:J263)</f>
        <v>0</v>
      </c>
      <c r="K264" s="94">
        <f>SUM(K259:K263)</f>
        <v>0</v>
      </c>
      <c r="L264" s="94">
        <f>SUM(L259:L263)</f>
        <v>0</v>
      </c>
      <c r="M264" s="94">
        <f t="shared" si="110"/>
        <v>0</v>
      </c>
      <c r="N264" s="97"/>
      <c r="O264" s="97"/>
      <c r="P264" s="97"/>
      <c r="Q264" s="97"/>
      <c r="R264" s="501"/>
    </row>
    <row r="265" spans="1:18" ht="12.75" hidden="1" customHeight="1" outlineLevel="1" x14ac:dyDescent="0.2">
      <c r="A265" s="464">
        <v>24</v>
      </c>
      <c r="B265" s="465"/>
      <c r="C265" s="350">
        <v>2021</v>
      </c>
      <c r="D265" s="346"/>
      <c r="E265" s="345"/>
      <c r="F265" s="346"/>
      <c r="G265" s="355"/>
      <c r="H265" s="305">
        <f>I265+J265+K265+L265</f>
        <v>0</v>
      </c>
      <c r="I265" s="308"/>
      <c r="J265" s="92"/>
      <c r="K265" s="92"/>
      <c r="L265" s="388"/>
      <c r="M265" s="94">
        <f t="shared" si="110"/>
        <v>0</v>
      </c>
      <c r="N265" s="359"/>
      <c r="O265" s="359"/>
      <c r="P265" s="359"/>
      <c r="Q265" s="359"/>
      <c r="R265" s="501"/>
    </row>
    <row r="266" spans="1:18" ht="12.75" hidden="1" customHeight="1" outlineLevel="1" x14ac:dyDescent="0.2">
      <c r="A266" s="464"/>
      <c r="B266" s="465"/>
      <c r="C266" s="350">
        <v>2022</v>
      </c>
      <c r="D266" s="346"/>
      <c r="E266" s="346"/>
      <c r="F266" s="346"/>
      <c r="G266" s="346"/>
      <c r="H266" s="305">
        <f>I266+J266+K266+L266</f>
        <v>0</v>
      </c>
      <c r="I266" s="308"/>
      <c r="J266" s="94"/>
      <c r="K266" s="94"/>
      <c r="L266" s="388"/>
      <c r="M266" s="94">
        <f t="shared" si="110"/>
        <v>0</v>
      </c>
      <c r="N266" s="97"/>
      <c r="O266" s="97"/>
      <c r="P266" s="97"/>
      <c r="Q266" s="97"/>
      <c r="R266" s="501"/>
    </row>
    <row r="267" spans="1:18" ht="12.75" hidden="1" customHeight="1" outlineLevel="1" x14ac:dyDescent="0.2">
      <c r="A267" s="464"/>
      <c r="B267" s="465"/>
      <c r="C267" s="350" t="s">
        <v>39</v>
      </c>
      <c r="D267" s="346"/>
      <c r="E267" s="346"/>
      <c r="F267" s="346"/>
      <c r="G267" s="346"/>
      <c r="H267" s="305">
        <f>I267+J267+K267+L267</f>
        <v>0</v>
      </c>
      <c r="I267" s="308"/>
      <c r="J267" s="94"/>
      <c r="K267" s="94"/>
      <c r="L267" s="388"/>
      <c r="M267" s="94">
        <f t="shared" si="110"/>
        <v>0</v>
      </c>
      <c r="N267" s="97"/>
      <c r="O267" s="97"/>
      <c r="P267" s="97"/>
      <c r="Q267" s="97"/>
      <c r="R267" s="501"/>
    </row>
    <row r="268" spans="1:18" ht="12.75" hidden="1" customHeight="1" outlineLevel="1" x14ac:dyDescent="0.2">
      <c r="A268" s="464"/>
      <c r="B268" s="465"/>
      <c r="C268" s="350" t="s">
        <v>191</v>
      </c>
      <c r="D268" s="346"/>
      <c r="E268" s="346"/>
      <c r="F268" s="346"/>
      <c r="G268" s="346"/>
      <c r="H268" s="305">
        <f>I268+J268+K268+L268</f>
        <v>0</v>
      </c>
      <c r="I268" s="308"/>
      <c r="J268" s="94"/>
      <c r="K268" s="94"/>
      <c r="L268" s="388"/>
      <c r="M268" s="94">
        <f t="shared" si="110"/>
        <v>0</v>
      </c>
      <c r="N268" s="97"/>
      <c r="O268" s="97"/>
      <c r="P268" s="97"/>
      <c r="Q268" s="97"/>
      <c r="R268" s="501"/>
    </row>
    <row r="269" spans="1:18" ht="12.75" hidden="1" customHeight="1" outlineLevel="1" x14ac:dyDescent="0.2">
      <c r="A269" s="464"/>
      <c r="B269" s="465"/>
      <c r="C269" s="350">
        <v>2025</v>
      </c>
      <c r="D269" s="346"/>
      <c r="E269" s="346"/>
      <c r="F269" s="346"/>
      <c r="G269" s="346"/>
      <c r="H269" s="305">
        <f>I269+J269+K269+L269</f>
        <v>0</v>
      </c>
      <c r="I269" s="308"/>
      <c r="J269" s="94"/>
      <c r="K269" s="94"/>
      <c r="L269" s="388"/>
      <c r="M269" s="94">
        <f t="shared" si="110"/>
        <v>0</v>
      </c>
      <c r="N269" s="97"/>
      <c r="O269" s="97"/>
      <c r="P269" s="97"/>
      <c r="Q269" s="97"/>
      <c r="R269" s="501"/>
    </row>
    <row r="270" spans="1:18" ht="12.75" hidden="1" customHeight="1" outlineLevel="1" x14ac:dyDescent="0.2">
      <c r="A270" s="464"/>
      <c r="B270" s="465"/>
      <c r="C270" s="350" t="s">
        <v>26</v>
      </c>
      <c r="D270" s="302">
        <f>SUM(D265:D269)</f>
        <v>0</v>
      </c>
      <c r="E270" s="302">
        <f t="shared" ref="E270:K270" si="112">SUM(E265:E269)</f>
        <v>0</v>
      </c>
      <c r="F270" s="302">
        <f t="shared" si="112"/>
        <v>0</v>
      </c>
      <c r="G270" s="302">
        <f t="shared" si="112"/>
        <v>0</v>
      </c>
      <c r="H270" s="302">
        <f>SUM(H265:H269)</f>
        <v>0</v>
      </c>
      <c r="I270" s="375">
        <f t="shared" si="112"/>
        <v>0</v>
      </c>
      <c r="J270" s="101">
        <f>SUM(J265:J269)</f>
        <v>0</v>
      </c>
      <c r="K270" s="101">
        <f t="shared" si="112"/>
        <v>0</v>
      </c>
      <c r="L270" s="101">
        <f>SUM(L265:L269)</f>
        <v>0</v>
      </c>
      <c r="M270" s="101">
        <f t="shared" si="110"/>
        <v>0</v>
      </c>
      <c r="N270" s="97"/>
      <c r="O270" s="97"/>
      <c r="P270" s="97"/>
      <c r="Q270" s="97"/>
      <c r="R270" s="501"/>
    </row>
    <row r="271" spans="1:18" ht="14.25" customHeight="1" collapsed="1" x14ac:dyDescent="0.2">
      <c r="A271" s="498">
        <v>31</v>
      </c>
      <c r="B271" s="488" t="s">
        <v>66</v>
      </c>
      <c r="C271" s="350">
        <v>2021</v>
      </c>
      <c r="D271" s="346"/>
      <c r="E271" s="346"/>
      <c r="F271" s="346"/>
      <c r="G271" s="92"/>
      <c r="H271" s="308">
        <f>I271+J271+K271+L271</f>
        <v>0</v>
      </c>
      <c r="I271" s="305"/>
      <c r="J271" s="94"/>
      <c r="K271" s="94"/>
      <c r="L271" s="94"/>
      <c r="M271" s="94">
        <f t="shared" si="110"/>
        <v>0</v>
      </c>
      <c r="N271" s="97"/>
      <c r="O271" s="97"/>
      <c r="P271" s="97"/>
      <c r="Q271" s="97"/>
      <c r="R271" s="501"/>
    </row>
    <row r="272" spans="1:18" ht="14.25" customHeight="1" x14ac:dyDescent="0.2">
      <c r="A272" s="499"/>
      <c r="B272" s="489"/>
      <c r="C272" s="350">
        <v>2022</v>
      </c>
      <c r="D272" s="346"/>
      <c r="E272" s="346"/>
      <c r="F272" s="346"/>
      <c r="G272" s="92"/>
      <c r="H272" s="308">
        <f>I272+J272+K272+L272</f>
        <v>0</v>
      </c>
      <c r="I272" s="305"/>
      <c r="J272" s="94"/>
      <c r="K272" s="94"/>
      <c r="L272" s="94"/>
      <c r="M272" s="94">
        <f t="shared" si="110"/>
        <v>0</v>
      </c>
      <c r="N272" s="97"/>
      <c r="O272" s="97"/>
      <c r="P272" s="97"/>
      <c r="Q272" s="97"/>
      <c r="R272" s="501"/>
    </row>
    <row r="273" spans="1:18" ht="14.25" customHeight="1" x14ac:dyDescent="0.2">
      <c r="A273" s="499"/>
      <c r="B273" s="489"/>
      <c r="C273" s="350" t="s">
        <v>39</v>
      </c>
      <c r="D273" s="346">
        <v>350</v>
      </c>
      <c r="E273" s="346">
        <v>490.79329999999999</v>
      </c>
      <c r="F273" s="346">
        <v>2.77</v>
      </c>
      <c r="G273" s="92">
        <f>4.3+2.5+1.1+3.6</f>
        <v>11.5</v>
      </c>
      <c r="H273" s="308">
        <f>I273+J273+K273+L273</f>
        <v>9000</v>
      </c>
      <c r="I273" s="305"/>
      <c r="J273" s="94">
        <v>9000</v>
      </c>
      <c r="K273" s="94"/>
      <c r="L273" s="94"/>
      <c r="M273" s="94">
        <f t="shared" si="110"/>
        <v>9000</v>
      </c>
      <c r="N273" s="97" t="s">
        <v>28</v>
      </c>
      <c r="O273" s="97" t="s">
        <v>31</v>
      </c>
      <c r="P273" s="97"/>
      <c r="Q273" s="97"/>
      <c r="R273" s="501"/>
    </row>
    <row r="274" spans="1:18" ht="16.5" customHeight="1" x14ac:dyDescent="0.2">
      <c r="A274" s="499"/>
      <c r="B274" s="489"/>
      <c r="C274" s="350" t="s">
        <v>191</v>
      </c>
      <c r="D274" s="346"/>
      <c r="E274" s="355"/>
      <c r="F274" s="346"/>
      <c r="G274" s="92"/>
      <c r="H274" s="308">
        <f>I274+J274+K274+L274</f>
        <v>68592.47</v>
      </c>
      <c r="I274" s="305"/>
      <c r="J274" s="94"/>
      <c r="K274" s="94">
        <v>68592.47</v>
      </c>
      <c r="L274" s="94"/>
      <c r="M274" s="94">
        <f t="shared" si="110"/>
        <v>68592.47</v>
      </c>
      <c r="N274" s="97"/>
      <c r="O274" s="97"/>
      <c r="P274" s="97" t="s">
        <v>28</v>
      </c>
      <c r="Q274" s="97" t="s">
        <v>31</v>
      </c>
      <c r="R274" s="501"/>
    </row>
    <row r="275" spans="1:18" ht="14.25" customHeight="1" x14ac:dyDescent="0.2">
      <c r="A275" s="499"/>
      <c r="B275" s="489"/>
      <c r="C275" s="350">
        <v>2025</v>
      </c>
      <c r="D275" s="346"/>
      <c r="E275" s="355"/>
      <c r="F275" s="346"/>
      <c r="G275" s="92"/>
      <c r="H275" s="308">
        <f>I275+J275+K275+L275</f>
        <v>0</v>
      </c>
      <c r="I275" s="305"/>
      <c r="J275" s="94"/>
      <c r="K275" s="94"/>
      <c r="L275" s="94"/>
      <c r="M275" s="94">
        <f t="shared" si="110"/>
        <v>0</v>
      </c>
      <c r="N275" s="97"/>
      <c r="O275" s="97"/>
      <c r="P275" s="97"/>
      <c r="Q275" s="97"/>
      <c r="R275" s="501"/>
    </row>
    <row r="276" spans="1:18" ht="14.25" customHeight="1" x14ac:dyDescent="0.2">
      <c r="A276" s="500"/>
      <c r="B276" s="490"/>
      <c r="C276" s="350" t="s">
        <v>26</v>
      </c>
      <c r="D276" s="302">
        <f t="shared" ref="D276:L276" si="113">SUM(D271:D275)</f>
        <v>350</v>
      </c>
      <c r="E276" s="302">
        <f t="shared" si="113"/>
        <v>490.79329999999999</v>
      </c>
      <c r="F276" s="302">
        <f t="shared" si="113"/>
        <v>2.77</v>
      </c>
      <c r="G276" s="302">
        <f t="shared" si="113"/>
        <v>11.5</v>
      </c>
      <c r="H276" s="304">
        <f t="shared" si="113"/>
        <v>77592.47</v>
      </c>
      <c r="I276" s="304">
        <f t="shared" si="113"/>
        <v>0</v>
      </c>
      <c r="J276" s="101">
        <f t="shared" si="113"/>
        <v>9000</v>
      </c>
      <c r="K276" s="101">
        <f t="shared" si="113"/>
        <v>68592.47</v>
      </c>
      <c r="L276" s="101">
        <f t="shared" si="113"/>
        <v>0</v>
      </c>
      <c r="M276" s="101">
        <f t="shared" si="110"/>
        <v>77592.47</v>
      </c>
      <c r="N276" s="97"/>
      <c r="O276" s="97"/>
      <c r="P276" s="97"/>
      <c r="Q276" s="97"/>
      <c r="R276" s="501"/>
    </row>
    <row r="277" spans="1:18" x14ac:dyDescent="0.2">
      <c r="A277" s="464">
        <v>32</v>
      </c>
      <c r="B277" s="488" t="s">
        <v>67</v>
      </c>
      <c r="C277" s="350">
        <v>2021</v>
      </c>
      <c r="D277" s="346"/>
      <c r="E277" s="346"/>
      <c r="F277" s="346"/>
      <c r="G277" s="92"/>
      <c r="H277" s="305">
        <f>I277+J277+K277+L277</f>
        <v>0</v>
      </c>
      <c r="I277" s="305"/>
      <c r="J277" s="94"/>
      <c r="K277" s="94"/>
      <c r="L277" s="94"/>
      <c r="M277" s="94">
        <f t="shared" si="110"/>
        <v>0</v>
      </c>
      <c r="N277" s="97"/>
      <c r="O277" s="97"/>
      <c r="P277" s="97"/>
      <c r="Q277" s="97"/>
      <c r="R277" s="466"/>
    </row>
    <row r="278" spans="1:18" x14ac:dyDescent="0.2">
      <c r="A278" s="464"/>
      <c r="B278" s="489"/>
      <c r="C278" s="350">
        <v>2022</v>
      </c>
      <c r="D278" s="346"/>
      <c r="E278" s="346"/>
      <c r="F278" s="346"/>
      <c r="G278" s="92"/>
      <c r="H278" s="305">
        <f>I278+J278+K278+L278</f>
        <v>0</v>
      </c>
      <c r="I278" s="305"/>
      <c r="J278" s="94"/>
      <c r="K278" s="94"/>
      <c r="L278" s="94"/>
      <c r="M278" s="94">
        <f t="shared" si="110"/>
        <v>0</v>
      </c>
      <c r="N278" s="97"/>
      <c r="O278" s="97"/>
      <c r="P278" s="97"/>
      <c r="Q278" s="97"/>
      <c r="R278" s="466"/>
    </row>
    <row r="279" spans="1:18" x14ac:dyDescent="0.2">
      <c r="A279" s="464"/>
      <c r="B279" s="489"/>
      <c r="C279" s="350" t="s">
        <v>39</v>
      </c>
      <c r="D279" s="346"/>
      <c r="E279" s="355"/>
      <c r="F279" s="346"/>
      <c r="G279" s="92"/>
      <c r="H279" s="305">
        <f>I279+J279+K279+L279</f>
        <v>0</v>
      </c>
      <c r="I279" s="305"/>
      <c r="J279" s="94"/>
      <c r="K279" s="94"/>
      <c r="L279" s="94"/>
      <c r="M279" s="94">
        <f t="shared" si="110"/>
        <v>0</v>
      </c>
      <c r="N279" s="97"/>
      <c r="O279" s="97"/>
      <c r="P279" s="97"/>
      <c r="Q279" s="97"/>
      <c r="R279" s="466"/>
    </row>
    <row r="280" spans="1:18" x14ac:dyDescent="0.2">
      <c r="A280" s="464"/>
      <c r="B280" s="489"/>
      <c r="C280" s="350" t="s">
        <v>191</v>
      </c>
      <c r="D280" s="346">
        <v>168</v>
      </c>
      <c r="E280" s="355">
        <v>205</v>
      </c>
      <c r="F280" s="346">
        <v>0.36</v>
      </c>
      <c r="G280" s="92">
        <v>3.62</v>
      </c>
      <c r="H280" s="305">
        <f>I280+J280+K280+L280</f>
        <v>2000</v>
      </c>
      <c r="I280" s="305"/>
      <c r="J280" s="94">
        <v>2000</v>
      </c>
      <c r="K280" s="94"/>
      <c r="L280" s="94"/>
      <c r="M280" s="94">
        <f t="shared" si="110"/>
        <v>2000</v>
      </c>
      <c r="N280" s="97" t="s">
        <v>49</v>
      </c>
      <c r="O280" s="97"/>
      <c r="P280" s="97"/>
      <c r="Q280" s="97"/>
      <c r="R280" s="466"/>
    </row>
    <row r="281" spans="1:18" x14ac:dyDescent="0.2">
      <c r="A281" s="464"/>
      <c r="B281" s="489"/>
      <c r="C281" s="350">
        <v>2025</v>
      </c>
      <c r="D281" s="346"/>
      <c r="E281" s="355"/>
      <c r="F281" s="346"/>
      <c r="G281" s="92"/>
      <c r="H281" s="305">
        <f>I281+J281+K281+L281</f>
        <v>28900</v>
      </c>
      <c r="I281" s="305"/>
      <c r="J281" s="94">
        <v>800</v>
      </c>
      <c r="K281" s="94">
        <v>28100</v>
      </c>
      <c r="L281" s="94"/>
      <c r="M281" s="94">
        <f t="shared" si="110"/>
        <v>28900</v>
      </c>
      <c r="N281" s="97"/>
      <c r="O281" s="97" t="s">
        <v>52</v>
      </c>
      <c r="P281" s="97" t="s">
        <v>47</v>
      </c>
      <c r="Q281" s="97" t="s">
        <v>55</v>
      </c>
      <c r="R281" s="466"/>
    </row>
    <row r="282" spans="1:18" x14ac:dyDescent="0.2">
      <c r="A282" s="464"/>
      <c r="B282" s="490"/>
      <c r="C282" s="350" t="s">
        <v>26</v>
      </c>
      <c r="D282" s="302">
        <f t="shared" ref="D282:L282" si="114">SUM(D277:D281)</f>
        <v>168</v>
      </c>
      <c r="E282" s="302">
        <f t="shared" si="114"/>
        <v>205</v>
      </c>
      <c r="F282" s="302">
        <f t="shared" si="114"/>
        <v>0.36</v>
      </c>
      <c r="G282" s="302">
        <f t="shared" si="114"/>
        <v>3.62</v>
      </c>
      <c r="H282" s="302">
        <f t="shared" si="114"/>
        <v>30900</v>
      </c>
      <c r="I282" s="304">
        <f t="shared" si="114"/>
        <v>0</v>
      </c>
      <c r="J282" s="101">
        <f t="shared" si="114"/>
        <v>2800</v>
      </c>
      <c r="K282" s="101">
        <f t="shared" si="114"/>
        <v>28100</v>
      </c>
      <c r="L282" s="101">
        <f t="shared" si="114"/>
        <v>0</v>
      </c>
      <c r="M282" s="101">
        <f t="shared" si="110"/>
        <v>30900</v>
      </c>
      <c r="N282" s="97"/>
      <c r="O282" s="97"/>
      <c r="P282" s="97"/>
      <c r="Q282" s="97"/>
      <c r="R282" s="466"/>
    </row>
    <row r="283" spans="1:18" x14ac:dyDescent="0.2">
      <c r="A283" s="464">
        <v>33</v>
      </c>
      <c r="B283" s="488" t="s">
        <v>74</v>
      </c>
      <c r="C283" s="350">
        <v>2021</v>
      </c>
      <c r="D283" s="346"/>
      <c r="E283" s="346"/>
      <c r="F283" s="346"/>
      <c r="G283" s="92"/>
      <c r="H283" s="305">
        <f>I283+J283+K283+L283</f>
        <v>0</v>
      </c>
      <c r="I283" s="305"/>
      <c r="J283" s="94"/>
      <c r="K283" s="94"/>
      <c r="L283" s="94"/>
      <c r="M283" s="94">
        <f t="shared" si="110"/>
        <v>0</v>
      </c>
      <c r="N283" s="97"/>
      <c r="O283" s="97"/>
      <c r="P283" s="97"/>
      <c r="Q283" s="97"/>
      <c r="R283" s="466"/>
    </row>
    <row r="284" spans="1:18" x14ac:dyDescent="0.2">
      <c r="A284" s="464"/>
      <c r="B284" s="489"/>
      <c r="C284" s="350">
        <v>2022</v>
      </c>
      <c r="D284" s="346"/>
      <c r="E284" s="346"/>
      <c r="F284" s="346"/>
      <c r="G284" s="92"/>
      <c r="H284" s="305">
        <f>I284+J284+K284+L284</f>
        <v>0</v>
      </c>
      <c r="I284" s="305"/>
      <c r="J284" s="94"/>
      <c r="K284" s="94"/>
      <c r="L284" s="94"/>
      <c r="M284" s="94">
        <f t="shared" si="110"/>
        <v>0</v>
      </c>
      <c r="N284" s="97"/>
      <c r="O284" s="97"/>
      <c r="P284" s="97"/>
      <c r="Q284" s="97"/>
      <c r="R284" s="466"/>
    </row>
    <row r="285" spans="1:18" x14ac:dyDescent="0.2">
      <c r="A285" s="464"/>
      <c r="B285" s="489"/>
      <c r="C285" s="350" t="s">
        <v>39</v>
      </c>
      <c r="D285" s="346"/>
      <c r="E285" s="346"/>
      <c r="F285" s="346"/>
      <c r="G285" s="92"/>
      <c r="H285" s="305">
        <f>I285+J285+K285+L285</f>
        <v>0</v>
      </c>
      <c r="I285" s="305"/>
      <c r="J285" s="94"/>
      <c r="K285" s="94"/>
      <c r="L285" s="94"/>
      <c r="M285" s="94">
        <f t="shared" si="110"/>
        <v>0</v>
      </c>
      <c r="N285" s="97"/>
      <c r="O285" s="97"/>
      <c r="P285" s="97"/>
      <c r="Q285" s="97"/>
      <c r="R285" s="466"/>
    </row>
    <row r="286" spans="1:18" x14ac:dyDescent="0.2">
      <c r="A286" s="464"/>
      <c r="B286" s="489"/>
      <c r="C286" s="350" t="s">
        <v>191</v>
      </c>
      <c r="D286" s="346">
        <v>224</v>
      </c>
      <c r="E286" s="346">
        <v>314.05</v>
      </c>
      <c r="F286" s="346">
        <v>0.74</v>
      </c>
      <c r="G286" s="92">
        <v>2.5</v>
      </c>
      <c r="H286" s="305">
        <f>I286+J286+K286+L286</f>
        <v>3500</v>
      </c>
      <c r="I286" s="305"/>
      <c r="J286" s="94">
        <v>2500</v>
      </c>
      <c r="K286" s="94">
        <v>1000</v>
      </c>
      <c r="L286" s="94"/>
      <c r="M286" s="94">
        <f t="shared" si="110"/>
        <v>3500</v>
      </c>
      <c r="N286" s="97" t="s">
        <v>28</v>
      </c>
      <c r="O286" s="97" t="s">
        <v>57</v>
      </c>
      <c r="P286" s="97" t="s">
        <v>55</v>
      </c>
      <c r="Q286" s="97"/>
      <c r="R286" s="466"/>
    </row>
    <row r="287" spans="1:18" x14ac:dyDescent="0.2">
      <c r="A287" s="464"/>
      <c r="B287" s="489"/>
      <c r="C287" s="350">
        <v>2025</v>
      </c>
      <c r="D287" s="346"/>
      <c r="E287" s="346"/>
      <c r="F287" s="346"/>
      <c r="G287" s="92"/>
      <c r="H287" s="305">
        <f>I287+J287+K287+L287</f>
        <v>8000</v>
      </c>
      <c r="I287" s="305"/>
      <c r="J287" s="94"/>
      <c r="K287" s="94">
        <v>8000</v>
      </c>
      <c r="L287" s="94"/>
      <c r="M287" s="94">
        <f t="shared" si="110"/>
        <v>8000</v>
      </c>
      <c r="N287" s="97"/>
      <c r="O287" s="97"/>
      <c r="P287" s="97"/>
      <c r="Q287" s="97" t="s">
        <v>54</v>
      </c>
      <c r="R287" s="466"/>
    </row>
    <row r="288" spans="1:18" x14ac:dyDescent="0.2">
      <c r="A288" s="464"/>
      <c r="B288" s="490"/>
      <c r="C288" s="350" t="s">
        <v>26</v>
      </c>
      <c r="D288" s="302">
        <f t="shared" ref="D288:L288" si="115">SUM(D283:D287)</f>
        <v>224</v>
      </c>
      <c r="E288" s="302">
        <f t="shared" si="115"/>
        <v>314.05</v>
      </c>
      <c r="F288" s="302">
        <f t="shared" si="115"/>
        <v>0.74</v>
      </c>
      <c r="G288" s="302">
        <f t="shared" si="115"/>
        <v>2.5</v>
      </c>
      <c r="H288" s="302">
        <f t="shared" si="115"/>
        <v>11500</v>
      </c>
      <c r="I288" s="304">
        <f t="shared" si="115"/>
        <v>0</v>
      </c>
      <c r="J288" s="101">
        <f t="shared" si="115"/>
        <v>2500</v>
      </c>
      <c r="K288" s="101">
        <f t="shared" si="115"/>
        <v>9000</v>
      </c>
      <c r="L288" s="101">
        <f t="shared" si="115"/>
        <v>0</v>
      </c>
      <c r="M288" s="101">
        <f t="shared" si="110"/>
        <v>11500</v>
      </c>
      <c r="N288" s="97"/>
      <c r="O288" s="97"/>
      <c r="P288" s="97"/>
      <c r="Q288" s="97"/>
      <c r="R288" s="466"/>
    </row>
    <row r="289" spans="1:18" outlineLevel="1" x14ac:dyDescent="0.2">
      <c r="A289" s="464">
        <v>34</v>
      </c>
      <c r="B289" s="488" t="s">
        <v>205</v>
      </c>
      <c r="C289" s="350">
        <v>2021</v>
      </c>
      <c r="D289" s="346"/>
      <c r="E289" s="346"/>
      <c r="F289" s="346"/>
      <c r="G289" s="92"/>
      <c r="H289" s="305">
        <f>I289+J289+K289+L289</f>
        <v>0</v>
      </c>
      <c r="I289" s="305"/>
      <c r="J289" s="94"/>
      <c r="K289" s="94"/>
      <c r="L289" s="94"/>
      <c r="M289" s="94">
        <f t="shared" si="110"/>
        <v>0</v>
      </c>
      <c r="N289" s="359"/>
      <c r="O289" s="359"/>
      <c r="P289" s="359"/>
      <c r="Q289" s="97"/>
      <c r="R289" s="501" t="s">
        <v>101</v>
      </c>
    </row>
    <row r="290" spans="1:18" outlineLevel="1" x14ac:dyDescent="0.2">
      <c r="A290" s="464"/>
      <c r="B290" s="489"/>
      <c r="C290" s="350">
        <v>2022</v>
      </c>
      <c r="D290" s="346">
        <v>220</v>
      </c>
      <c r="E290" s="346">
        <v>300</v>
      </c>
      <c r="F290" s="346">
        <v>1.2</v>
      </c>
      <c r="G290" s="92">
        <v>4.5</v>
      </c>
      <c r="H290" s="305">
        <f>I290+J290+K290+L290</f>
        <v>2000</v>
      </c>
      <c r="I290" s="305"/>
      <c r="J290" s="94">
        <v>2000</v>
      </c>
      <c r="K290" s="94"/>
      <c r="L290" s="94"/>
      <c r="M290" s="94">
        <f t="shared" si="110"/>
        <v>2000</v>
      </c>
      <c r="N290" s="97" t="s">
        <v>54</v>
      </c>
      <c r="O290" s="97"/>
      <c r="P290" s="97" t="s">
        <v>192</v>
      </c>
      <c r="Q290" s="97"/>
      <c r="R290" s="501"/>
    </row>
    <row r="291" spans="1:18" outlineLevel="1" x14ac:dyDescent="0.2">
      <c r="A291" s="464"/>
      <c r="B291" s="489"/>
      <c r="C291" s="350" t="s">
        <v>39</v>
      </c>
      <c r="D291" s="346"/>
      <c r="E291" s="346"/>
      <c r="F291" s="346"/>
      <c r="G291" s="92"/>
      <c r="H291" s="305">
        <f>I291+J291+K291+L291</f>
        <v>23500</v>
      </c>
      <c r="I291" s="305"/>
      <c r="J291" s="94">
        <v>1000</v>
      </c>
      <c r="K291" s="94">
        <v>22500</v>
      </c>
      <c r="L291" s="94"/>
      <c r="M291" s="94">
        <f t="shared" si="110"/>
        <v>23500</v>
      </c>
      <c r="N291" s="97"/>
      <c r="O291" s="97" t="s">
        <v>52</v>
      </c>
      <c r="P291" s="97" t="s">
        <v>47</v>
      </c>
      <c r="Q291" s="97" t="s">
        <v>31</v>
      </c>
      <c r="R291" s="501"/>
    </row>
    <row r="292" spans="1:18" outlineLevel="1" x14ac:dyDescent="0.2">
      <c r="A292" s="464"/>
      <c r="B292" s="489"/>
      <c r="C292" s="350" t="s">
        <v>191</v>
      </c>
      <c r="D292" s="346"/>
      <c r="E292" s="346"/>
      <c r="F292" s="346"/>
      <c r="G292" s="92"/>
      <c r="H292" s="305">
        <f>I292+J292+K292+L292</f>
        <v>0</v>
      </c>
      <c r="I292" s="305"/>
      <c r="J292" s="94"/>
      <c r="K292" s="94"/>
      <c r="L292" s="94"/>
      <c r="M292" s="94">
        <f t="shared" si="110"/>
        <v>0</v>
      </c>
      <c r="N292" s="97"/>
      <c r="O292" s="97"/>
      <c r="P292" s="97"/>
      <c r="Q292" s="97"/>
      <c r="R292" s="501"/>
    </row>
    <row r="293" spans="1:18" outlineLevel="1" x14ac:dyDescent="0.2">
      <c r="A293" s="464"/>
      <c r="B293" s="489"/>
      <c r="C293" s="350">
        <v>2025</v>
      </c>
      <c r="D293" s="346"/>
      <c r="E293" s="346"/>
      <c r="F293" s="346"/>
      <c r="G293" s="92"/>
      <c r="H293" s="305">
        <f>I293+J293+K293+L293</f>
        <v>0</v>
      </c>
      <c r="I293" s="305"/>
      <c r="J293" s="94"/>
      <c r="K293" s="94"/>
      <c r="L293" s="94"/>
      <c r="M293" s="94">
        <f t="shared" si="110"/>
        <v>0</v>
      </c>
      <c r="N293" s="97"/>
      <c r="O293" s="97"/>
      <c r="P293" s="97"/>
      <c r="Q293" s="97"/>
      <c r="R293" s="501"/>
    </row>
    <row r="294" spans="1:18" outlineLevel="1" x14ac:dyDescent="0.2">
      <c r="A294" s="464"/>
      <c r="B294" s="490"/>
      <c r="C294" s="350" t="s">
        <v>26</v>
      </c>
      <c r="D294" s="302">
        <f t="shared" ref="D294:L294" si="116">SUM(D289:D293)</f>
        <v>220</v>
      </c>
      <c r="E294" s="302">
        <f t="shared" si="116"/>
        <v>300</v>
      </c>
      <c r="F294" s="302">
        <f t="shared" si="116"/>
        <v>1.2</v>
      </c>
      <c r="G294" s="302">
        <f t="shared" si="116"/>
        <v>4.5</v>
      </c>
      <c r="H294" s="302">
        <f t="shared" si="116"/>
        <v>25500</v>
      </c>
      <c r="I294" s="304">
        <f t="shared" si="116"/>
        <v>0</v>
      </c>
      <c r="J294" s="101">
        <f t="shared" si="116"/>
        <v>3000</v>
      </c>
      <c r="K294" s="101">
        <f t="shared" si="116"/>
        <v>22500</v>
      </c>
      <c r="L294" s="101">
        <f t="shared" si="116"/>
        <v>0</v>
      </c>
      <c r="M294" s="101">
        <f t="shared" si="110"/>
        <v>25500</v>
      </c>
      <c r="N294" s="97"/>
      <c r="O294" s="97"/>
      <c r="P294" s="97"/>
      <c r="Q294" s="97"/>
      <c r="R294" s="501"/>
    </row>
    <row r="295" spans="1:18" x14ac:dyDescent="0.2">
      <c r="A295" s="502" t="s">
        <v>29</v>
      </c>
      <c r="B295" s="502"/>
      <c r="C295" s="350">
        <v>2021</v>
      </c>
      <c r="D295" s="302">
        <f>D259+D265+D271+D277+D283+D289</f>
        <v>0</v>
      </c>
      <c r="E295" s="302">
        <f t="shared" ref="E295:L295" si="117">E259+E265+E271+E277+E283+E289</f>
        <v>0</v>
      </c>
      <c r="F295" s="302">
        <f t="shared" si="117"/>
        <v>0</v>
      </c>
      <c r="G295" s="302">
        <f t="shared" si="117"/>
        <v>0</v>
      </c>
      <c r="H295" s="302">
        <f t="shared" si="117"/>
        <v>0</v>
      </c>
      <c r="I295" s="302">
        <f>I259+I265+I271+I277+I283+I289</f>
        <v>0</v>
      </c>
      <c r="J295" s="302">
        <f t="shared" si="117"/>
        <v>0</v>
      </c>
      <c r="K295" s="302">
        <f t="shared" si="117"/>
        <v>0</v>
      </c>
      <c r="L295" s="302">
        <f t="shared" si="117"/>
        <v>0</v>
      </c>
      <c r="M295" s="302">
        <f>M259+M265+M271+M277+M283+M289</f>
        <v>0</v>
      </c>
      <c r="N295" s="97"/>
      <c r="O295" s="97"/>
      <c r="P295" s="97"/>
      <c r="Q295" s="97"/>
      <c r="R295" s="466"/>
    </row>
    <row r="296" spans="1:18" x14ac:dyDescent="0.2">
      <c r="A296" s="502"/>
      <c r="B296" s="502"/>
      <c r="C296" s="350">
        <v>2022</v>
      </c>
      <c r="D296" s="302">
        <f t="shared" ref="D296:M300" si="118">D260+D266+D272+D278+D284+D290</f>
        <v>220</v>
      </c>
      <c r="E296" s="302">
        <f t="shared" si="118"/>
        <v>300</v>
      </c>
      <c r="F296" s="302">
        <f t="shared" si="118"/>
        <v>1.2</v>
      </c>
      <c r="G296" s="302">
        <f t="shared" si="118"/>
        <v>4.5</v>
      </c>
      <c r="H296" s="302">
        <f t="shared" si="118"/>
        <v>2000</v>
      </c>
      <c r="I296" s="302">
        <f t="shared" si="118"/>
        <v>0</v>
      </c>
      <c r="J296" s="302">
        <f t="shared" si="118"/>
        <v>2000</v>
      </c>
      <c r="K296" s="302">
        <f t="shared" si="118"/>
        <v>0</v>
      </c>
      <c r="L296" s="302">
        <f t="shared" si="118"/>
        <v>0</v>
      </c>
      <c r="M296" s="302">
        <f t="shared" si="118"/>
        <v>2000</v>
      </c>
      <c r="N296" s="97"/>
      <c r="O296" s="97"/>
      <c r="P296" s="97"/>
      <c r="Q296" s="97"/>
      <c r="R296" s="466"/>
    </row>
    <row r="297" spans="1:18" x14ac:dyDescent="0.2">
      <c r="A297" s="502"/>
      <c r="B297" s="502"/>
      <c r="C297" s="350" t="s">
        <v>39</v>
      </c>
      <c r="D297" s="302">
        <f t="shared" si="118"/>
        <v>350</v>
      </c>
      <c r="E297" s="302">
        <f t="shared" si="118"/>
        <v>490.79329999999999</v>
      </c>
      <c r="F297" s="302">
        <f t="shared" si="118"/>
        <v>2.77</v>
      </c>
      <c r="G297" s="302">
        <f t="shared" si="118"/>
        <v>11.5</v>
      </c>
      <c r="H297" s="302">
        <f t="shared" si="118"/>
        <v>32500</v>
      </c>
      <c r="I297" s="302">
        <f t="shared" si="118"/>
        <v>0</v>
      </c>
      <c r="J297" s="302">
        <f t="shared" si="118"/>
        <v>10000</v>
      </c>
      <c r="K297" s="302">
        <f>K261+K267+K273+K279+K285+K291</f>
        <v>22500</v>
      </c>
      <c r="L297" s="302">
        <f t="shared" si="118"/>
        <v>0</v>
      </c>
      <c r="M297" s="302">
        <f t="shared" si="118"/>
        <v>32500</v>
      </c>
      <c r="N297" s="97"/>
      <c r="O297" s="97"/>
      <c r="P297" s="97"/>
      <c r="Q297" s="97"/>
      <c r="R297" s="466"/>
    </row>
    <row r="298" spans="1:18" x14ac:dyDescent="0.2">
      <c r="A298" s="502"/>
      <c r="B298" s="502"/>
      <c r="C298" s="350" t="s">
        <v>191</v>
      </c>
      <c r="D298" s="302">
        <f t="shared" si="118"/>
        <v>392</v>
      </c>
      <c r="E298" s="302">
        <f t="shared" si="118"/>
        <v>519.04999999999995</v>
      </c>
      <c r="F298" s="302">
        <f t="shared" si="118"/>
        <v>1.1000000000000001</v>
      </c>
      <c r="G298" s="302">
        <f t="shared" si="118"/>
        <v>6.12</v>
      </c>
      <c r="H298" s="302">
        <f t="shared" si="118"/>
        <v>74092.47</v>
      </c>
      <c r="I298" s="302">
        <f t="shared" si="118"/>
        <v>0</v>
      </c>
      <c r="J298" s="302">
        <f t="shared" si="118"/>
        <v>4500</v>
      </c>
      <c r="K298" s="302">
        <f>K262+K268+K274+K280+K286+K292</f>
        <v>69592.47</v>
      </c>
      <c r="L298" s="302">
        <f t="shared" si="118"/>
        <v>0</v>
      </c>
      <c r="M298" s="302">
        <f t="shared" si="118"/>
        <v>74092.47</v>
      </c>
      <c r="N298" s="97"/>
      <c r="O298" s="97"/>
      <c r="P298" s="97"/>
      <c r="Q298" s="97"/>
      <c r="R298" s="466"/>
    </row>
    <row r="299" spans="1:18" x14ac:dyDescent="0.2">
      <c r="A299" s="502"/>
      <c r="B299" s="502"/>
      <c r="C299" s="350">
        <v>2025</v>
      </c>
      <c r="D299" s="302">
        <f t="shared" si="118"/>
        <v>0</v>
      </c>
      <c r="E299" s="302">
        <f t="shared" si="118"/>
        <v>0</v>
      </c>
      <c r="F299" s="302">
        <f t="shared" si="118"/>
        <v>0</v>
      </c>
      <c r="G299" s="302">
        <f t="shared" si="118"/>
        <v>0</v>
      </c>
      <c r="H299" s="302">
        <f t="shared" si="118"/>
        <v>36900</v>
      </c>
      <c r="I299" s="302">
        <f t="shared" si="118"/>
        <v>0</v>
      </c>
      <c r="J299" s="302">
        <f t="shared" si="118"/>
        <v>800</v>
      </c>
      <c r="K299" s="302">
        <f>K263+K269+K275+K281+K287+K293</f>
        <v>36100</v>
      </c>
      <c r="L299" s="302">
        <f t="shared" si="118"/>
        <v>0</v>
      </c>
      <c r="M299" s="302">
        <f t="shared" si="118"/>
        <v>36900</v>
      </c>
      <c r="N299" s="97"/>
      <c r="O299" s="97"/>
      <c r="P299" s="97"/>
      <c r="Q299" s="97"/>
      <c r="R299" s="466"/>
    </row>
    <row r="300" spans="1:18" x14ac:dyDescent="0.2">
      <c r="A300" s="502"/>
      <c r="B300" s="502"/>
      <c r="C300" s="350" t="s">
        <v>12</v>
      </c>
      <c r="D300" s="376">
        <f>SUM(D295:D299)</f>
        <v>962</v>
      </c>
      <c r="E300" s="376">
        <f t="shared" ref="E300:L300" si="119">SUM(E295:E299)</f>
        <v>1309.8433</v>
      </c>
      <c r="F300" s="376">
        <f t="shared" si="119"/>
        <v>5.07</v>
      </c>
      <c r="G300" s="376">
        <f t="shared" si="119"/>
        <v>22.12</v>
      </c>
      <c r="H300" s="376">
        <f t="shared" si="119"/>
        <v>145492.47</v>
      </c>
      <c r="I300" s="376">
        <f t="shared" si="119"/>
        <v>0</v>
      </c>
      <c r="J300" s="376">
        <f t="shared" si="119"/>
        <v>17300</v>
      </c>
      <c r="K300" s="376">
        <f>SUM(K295:K299)</f>
        <v>128192.47</v>
      </c>
      <c r="L300" s="376">
        <f t="shared" si="119"/>
        <v>0</v>
      </c>
      <c r="M300" s="302">
        <f t="shared" si="118"/>
        <v>145492.47</v>
      </c>
      <c r="N300" s="97"/>
      <c r="O300" s="97"/>
      <c r="P300" s="97"/>
      <c r="Q300" s="97"/>
      <c r="R300" s="466"/>
    </row>
    <row r="301" spans="1:18" x14ac:dyDescent="0.2">
      <c r="A301" s="473" t="s">
        <v>45</v>
      </c>
      <c r="B301" s="474"/>
      <c r="C301" s="7"/>
      <c r="D301" s="10"/>
      <c r="E301" s="346"/>
      <c r="F301" s="10"/>
      <c r="G301" s="10"/>
      <c r="H301" s="8"/>
      <c r="I301" s="7"/>
      <c r="J301" s="17"/>
      <c r="K301" s="17"/>
      <c r="L301" s="17"/>
      <c r="M301" s="17"/>
      <c r="N301" s="7"/>
      <c r="O301" s="7"/>
      <c r="P301" s="7"/>
      <c r="Q301" s="7"/>
    </row>
    <row r="302" spans="1:18" ht="14.25" customHeight="1" x14ac:dyDescent="0.2">
      <c r="A302" s="464">
        <v>35</v>
      </c>
      <c r="B302" s="512" t="s">
        <v>112</v>
      </c>
      <c r="C302" s="350">
        <v>2021</v>
      </c>
      <c r="D302" s="346">
        <v>260</v>
      </c>
      <c r="E302" s="346">
        <v>705.8</v>
      </c>
      <c r="F302" s="345">
        <v>2.85</v>
      </c>
      <c r="G302" s="91">
        <v>3.5</v>
      </c>
      <c r="H302" s="305">
        <f>I302+J302+K302+L302</f>
        <v>4900</v>
      </c>
      <c r="I302" s="379">
        <v>405.21848</v>
      </c>
      <c r="J302" s="94">
        <f>2900-I302</f>
        <v>2494.78152</v>
      </c>
      <c r="K302" s="94">
        <v>2000</v>
      </c>
      <c r="L302" s="94"/>
      <c r="M302" s="94">
        <f>J302+K302+L302</f>
        <v>4494.7815200000005</v>
      </c>
      <c r="N302" s="359">
        <v>43983</v>
      </c>
      <c r="O302" s="97" t="s">
        <v>51</v>
      </c>
      <c r="P302" s="97" t="s">
        <v>53</v>
      </c>
      <c r="Q302" s="97"/>
      <c r="R302" s="466"/>
    </row>
    <row r="303" spans="1:18" ht="14.25" customHeight="1" x14ac:dyDescent="0.2">
      <c r="A303" s="464"/>
      <c r="B303" s="512"/>
      <c r="C303" s="350">
        <v>2022</v>
      </c>
      <c r="D303" s="346"/>
      <c r="E303" s="346"/>
      <c r="F303" s="345"/>
      <c r="G303" s="91"/>
      <c r="H303" s="305">
        <f>I303+J303+K303+L303</f>
        <v>11000</v>
      </c>
      <c r="I303" s="379"/>
      <c r="J303" s="92"/>
      <c r="K303" s="94">
        <v>11000</v>
      </c>
      <c r="L303" s="94"/>
      <c r="M303" s="94">
        <f>J303+K303+L303</f>
        <v>11000</v>
      </c>
      <c r="N303" s="97"/>
      <c r="O303" s="97"/>
      <c r="P303" s="97"/>
      <c r="Q303" s="97" t="s">
        <v>54</v>
      </c>
      <c r="R303" s="466"/>
    </row>
    <row r="304" spans="1:18" ht="14.25" customHeight="1" x14ac:dyDescent="0.2">
      <c r="A304" s="464"/>
      <c r="B304" s="512"/>
      <c r="C304" s="350" t="s">
        <v>39</v>
      </c>
      <c r="D304" s="346"/>
      <c r="E304" s="346"/>
      <c r="F304" s="345"/>
      <c r="G304" s="91"/>
      <c r="H304" s="305">
        <f>I304+J304+K304+L304</f>
        <v>0</v>
      </c>
      <c r="I304" s="379"/>
      <c r="J304" s="94"/>
      <c r="K304" s="94"/>
      <c r="L304" s="94"/>
      <c r="M304" s="94">
        <f>J304+K304+L304</f>
        <v>0</v>
      </c>
      <c r="N304" s="97"/>
      <c r="O304" s="97"/>
      <c r="P304" s="97"/>
      <c r="Q304" s="97"/>
      <c r="R304" s="466"/>
    </row>
    <row r="305" spans="1:18" ht="14.25" customHeight="1" x14ac:dyDescent="0.2">
      <c r="A305" s="464"/>
      <c r="B305" s="512"/>
      <c r="C305" s="350" t="s">
        <v>191</v>
      </c>
      <c r="D305" s="346"/>
      <c r="E305" s="346"/>
      <c r="F305" s="345"/>
      <c r="G305" s="91"/>
      <c r="H305" s="305">
        <f>I305+J305+K305+L305</f>
        <v>0</v>
      </c>
      <c r="I305" s="379"/>
      <c r="J305" s="94"/>
      <c r="K305" s="94"/>
      <c r="L305" s="94"/>
      <c r="M305" s="94">
        <f>J305+K305+L305</f>
        <v>0</v>
      </c>
      <c r="N305" s="97"/>
      <c r="O305" s="97"/>
      <c r="P305" s="97"/>
      <c r="Q305" s="97"/>
      <c r="R305" s="466"/>
    </row>
    <row r="306" spans="1:18" ht="16.5" customHeight="1" x14ac:dyDescent="0.2">
      <c r="A306" s="464"/>
      <c r="B306" s="512"/>
      <c r="C306" s="350">
        <v>2025</v>
      </c>
      <c r="D306" s="346"/>
      <c r="E306" s="355"/>
      <c r="F306" s="357"/>
      <c r="G306" s="91"/>
      <c r="H306" s="305">
        <f>I306+J306+K306+L306</f>
        <v>0</v>
      </c>
      <c r="I306" s="379"/>
      <c r="J306" s="94"/>
      <c r="K306" s="94"/>
      <c r="L306" s="94"/>
      <c r="M306" s="94">
        <f>J306+K306+L306</f>
        <v>0</v>
      </c>
      <c r="N306" s="97"/>
      <c r="O306" s="97"/>
      <c r="P306" s="97"/>
      <c r="Q306" s="97"/>
      <c r="R306" s="466"/>
    </row>
    <row r="307" spans="1:18" ht="12" customHeight="1" x14ac:dyDescent="0.2">
      <c r="A307" s="464"/>
      <c r="B307" s="512"/>
      <c r="C307" s="350" t="s">
        <v>26</v>
      </c>
      <c r="D307" s="90">
        <f>SUM(D302:D306)</f>
        <v>260</v>
      </c>
      <c r="E307" s="90">
        <f t="shared" ref="E307:L307" si="120">SUM(E302:E306)</f>
        <v>705.8</v>
      </c>
      <c r="F307" s="90">
        <f t="shared" si="120"/>
        <v>2.85</v>
      </c>
      <c r="G307" s="90">
        <f t="shared" si="120"/>
        <v>3.5</v>
      </c>
      <c r="H307" s="90">
        <f t="shared" si="120"/>
        <v>15900</v>
      </c>
      <c r="I307" s="90">
        <f t="shared" si="120"/>
        <v>405.21848</v>
      </c>
      <c r="J307" s="90">
        <f t="shared" si="120"/>
        <v>2494.78152</v>
      </c>
      <c r="K307" s="90">
        <f t="shared" si="120"/>
        <v>13000</v>
      </c>
      <c r="L307" s="90">
        <f t="shared" si="120"/>
        <v>0</v>
      </c>
      <c r="M307" s="297">
        <f>SUM(M302:M306)</f>
        <v>15494.78152</v>
      </c>
      <c r="N307" s="97"/>
      <c r="O307" s="97"/>
      <c r="P307" s="97"/>
      <c r="Q307" s="97"/>
      <c r="R307" s="466"/>
    </row>
    <row r="308" spans="1:18" s="13" customFormat="1" ht="15" customHeight="1" x14ac:dyDescent="0.2">
      <c r="A308" s="411">
        <v>36</v>
      </c>
      <c r="B308" s="512" t="s">
        <v>73</v>
      </c>
      <c r="C308" s="325">
        <v>2021</v>
      </c>
      <c r="D308" s="90">
        <v>470</v>
      </c>
      <c r="E308" s="90">
        <v>1304.72</v>
      </c>
      <c r="F308" s="90">
        <v>4.62</v>
      </c>
      <c r="G308" s="90">
        <v>4.1399999999999997</v>
      </c>
      <c r="H308" s="303">
        <f>I308+J308+K308+L308</f>
        <v>20914.22</v>
      </c>
      <c r="I308" s="90">
        <v>6158.6</v>
      </c>
      <c r="J308" s="297"/>
      <c r="K308" s="297">
        <f>20914.22-I308</f>
        <v>14755.62</v>
      </c>
      <c r="L308" s="297"/>
      <c r="M308" s="293">
        <f t="shared" ref="M308:M325" si="121">J308+K308+L308</f>
        <v>14755.62</v>
      </c>
      <c r="N308" s="366">
        <v>43831</v>
      </c>
      <c r="O308" s="366">
        <v>44075</v>
      </c>
      <c r="P308" s="366">
        <v>44105</v>
      </c>
      <c r="Q308" s="323" t="s">
        <v>48</v>
      </c>
      <c r="R308" s="451"/>
    </row>
    <row r="309" spans="1:18" s="13" customFormat="1" ht="14.25" customHeight="1" x14ac:dyDescent="0.2">
      <c r="A309" s="411"/>
      <c r="B309" s="512"/>
      <c r="C309" s="325">
        <v>2022</v>
      </c>
      <c r="D309" s="90">
        <v>0</v>
      </c>
      <c r="E309" s="90"/>
      <c r="F309" s="90"/>
      <c r="G309" s="90"/>
      <c r="H309" s="303">
        <f>I309+J309+K309+L309</f>
        <v>0</v>
      </c>
      <c r="I309" s="90"/>
      <c r="J309" s="297"/>
      <c r="K309" s="297"/>
      <c r="L309" s="297"/>
      <c r="M309" s="293">
        <f t="shared" si="121"/>
        <v>0</v>
      </c>
      <c r="N309" s="323"/>
      <c r="O309" s="323"/>
      <c r="P309" s="323"/>
      <c r="Q309" s="323"/>
      <c r="R309" s="451"/>
    </row>
    <row r="310" spans="1:18" s="13" customFormat="1" ht="15" customHeight="1" x14ac:dyDescent="0.2">
      <c r="A310" s="411"/>
      <c r="B310" s="512"/>
      <c r="C310" s="325" t="s">
        <v>39</v>
      </c>
      <c r="D310" s="90"/>
      <c r="E310" s="90"/>
      <c r="F310" s="90"/>
      <c r="G310" s="90"/>
      <c r="H310" s="303">
        <f>I310+J310+K310+L310</f>
        <v>0</v>
      </c>
      <c r="I310" s="90"/>
      <c r="J310" s="297"/>
      <c r="K310" s="297"/>
      <c r="L310" s="297"/>
      <c r="M310" s="293">
        <f t="shared" si="121"/>
        <v>0</v>
      </c>
      <c r="N310" s="323"/>
      <c r="O310" s="323"/>
      <c r="P310" s="323"/>
      <c r="Q310" s="323"/>
      <c r="R310" s="451"/>
    </row>
    <row r="311" spans="1:18" s="13" customFormat="1" ht="15" customHeight="1" x14ac:dyDescent="0.2">
      <c r="A311" s="411"/>
      <c r="B311" s="512"/>
      <c r="C311" s="325" t="s">
        <v>191</v>
      </c>
      <c r="D311" s="90"/>
      <c r="E311" s="90"/>
      <c r="F311" s="90"/>
      <c r="G311" s="90"/>
      <c r="H311" s="303">
        <f>I311+J311+K311+L311</f>
        <v>0</v>
      </c>
      <c r="I311" s="90"/>
      <c r="J311" s="297"/>
      <c r="K311" s="297"/>
      <c r="L311" s="297"/>
      <c r="M311" s="293">
        <f t="shared" si="121"/>
        <v>0</v>
      </c>
      <c r="N311" s="323"/>
      <c r="O311" s="323"/>
      <c r="P311" s="323"/>
      <c r="Q311" s="323"/>
      <c r="R311" s="451"/>
    </row>
    <row r="312" spans="1:18" s="13" customFormat="1" ht="15" customHeight="1" x14ac:dyDescent="0.2">
      <c r="A312" s="411"/>
      <c r="B312" s="512"/>
      <c r="C312" s="325">
        <v>2025</v>
      </c>
      <c r="D312" s="90"/>
      <c r="E312" s="90"/>
      <c r="F312" s="90"/>
      <c r="G312" s="90"/>
      <c r="H312" s="303">
        <f>I312+J312+K312+L312</f>
        <v>0</v>
      </c>
      <c r="I312" s="90"/>
      <c r="J312" s="297"/>
      <c r="K312" s="297"/>
      <c r="L312" s="297"/>
      <c r="M312" s="293">
        <f t="shared" si="121"/>
        <v>0</v>
      </c>
      <c r="N312" s="323"/>
      <c r="O312" s="323"/>
      <c r="P312" s="323"/>
      <c r="Q312" s="323"/>
      <c r="R312" s="451"/>
    </row>
    <row r="313" spans="1:18" s="13" customFormat="1" ht="15" customHeight="1" x14ac:dyDescent="0.2">
      <c r="A313" s="411"/>
      <c r="B313" s="512"/>
      <c r="C313" s="325" t="s">
        <v>26</v>
      </c>
      <c r="D313" s="90">
        <f>SUM(D308:D312)</f>
        <v>470</v>
      </c>
      <c r="E313" s="90">
        <f t="shared" ref="E313:L313" si="122">SUM(E308:E312)</f>
        <v>1304.72</v>
      </c>
      <c r="F313" s="90">
        <f t="shared" si="122"/>
        <v>4.62</v>
      </c>
      <c r="G313" s="90">
        <f t="shared" si="122"/>
        <v>4.1399999999999997</v>
      </c>
      <c r="H313" s="389">
        <f>SUM(H308:H312)</f>
        <v>20914.22</v>
      </c>
      <c r="I313" s="90">
        <f t="shared" si="122"/>
        <v>6158.6</v>
      </c>
      <c r="J313" s="90">
        <f>SUM(J308:J312)</f>
        <v>0</v>
      </c>
      <c r="K313" s="90">
        <f>SUM(K308:K312)</f>
        <v>14755.62</v>
      </c>
      <c r="L313" s="90">
        <f t="shared" si="122"/>
        <v>0</v>
      </c>
      <c r="M313" s="293">
        <f t="shared" si="121"/>
        <v>14755.62</v>
      </c>
      <c r="N313" s="323"/>
      <c r="O313" s="323"/>
      <c r="P313" s="323"/>
      <c r="Q313" s="323"/>
      <c r="R313" s="451"/>
    </row>
    <row r="314" spans="1:18" s="13" customFormat="1" ht="15.75" customHeight="1" x14ac:dyDescent="0.2">
      <c r="A314" s="411">
        <v>37</v>
      </c>
      <c r="B314" s="512" t="s">
        <v>89</v>
      </c>
      <c r="C314" s="325">
        <v>2021</v>
      </c>
      <c r="D314" s="90">
        <v>937</v>
      </c>
      <c r="E314" s="90">
        <v>3425.98</v>
      </c>
      <c r="F314" s="90">
        <v>6.5090000000000003</v>
      </c>
      <c r="G314" s="90">
        <v>14.003</v>
      </c>
      <c r="H314" s="303">
        <f>I314+J314+K314+L314</f>
        <v>126670.77</v>
      </c>
      <c r="I314" s="90">
        <v>125652.22</v>
      </c>
      <c r="J314" s="297"/>
      <c r="K314" s="297">
        <f>126670.77-I314</f>
        <v>1018.5500000000029</v>
      </c>
      <c r="L314" s="297"/>
      <c r="M314" s="293">
        <f t="shared" si="121"/>
        <v>1018.5500000000029</v>
      </c>
      <c r="N314" s="366">
        <v>43586</v>
      </c>
      <c r="O314" s="366">
        <v>44013</v>
      </c>
      <c r="P314" s="366">
        <v>44044</v>
      </c>
      <c r="Q314" s="366">
        <v>44166</v>
      </c>
      <c r="R314" s="451"/>
    </row>
    <row r="315" spans="1:18" s="13" customFormat="1" ht="17.25" customHeight="1" x14ac:dyDescent="0.2">
      <c r="A315" s="411"/>
      <c r="B315" s="512"/>
      <c r="C315" s="325">
        <v>2022</v>
      </c>
      <c r="D315" s="90"/>
      <c r="E315" s="90"/>
      <c r="F315" s="90"/>
      <c r="G315" s="90"/>
      <c r="H315" s="303">
        <f>I315+J315+K315+L315</f>
        <v>0</v>
      </c>
      <c r="I315" s="90"/>
      <c r="J315" s="297"/>
      <c r="K315" s="297"/>
      <c r="L315" s="297"/>
      <c r="M315" s="293">
        <f t="shared" si="121"/>
        <v>0</v>
      </c>
      <c r="N315" s="323"/>
      <c r="O315" s="323"/>
      <c r="P315" s="323"/>
      <c r="Q315" s="323"/>
      <c r="R315" s="451"/>
    </row>
    <row r="316" spans="1:18" s="13" customFormat="1" ht="14.25" customHeight="1" x14ac:dyDescent="0.2">
      <c r="A316" s="411"/>
      <c r="B316" s="512"/>
      <c r="C316" s="325" t="s">
        <v>39</v>
      </c>
      <c r="D316" s="90"/>
      <c r="E316" s="90"/>
      <c r="F316" s="90"/>
      <c r="G316" s="90"/>
      <c r="H316" s="303">
        <f>I316+J316+K316+L316</f>
        <v>0</v>
      </c>
      <c r="I316" s="90"/>
      <c r="J316" s="297"/>
      <c r="K316" s="297"/>
      <c r="L316" s="297"/>
      <c r="M316" s="293">
        <f t="shared" si="121"/>
        <v>0</v>
      </c>
      <c r="N316" s="323"/>
      <c r="O316" s="323"/>
      <c r="P316" s="323"/>
      <c r="Q316" s="323"/>
      <c r="R316" s="451"/>
    </row>
    <row r="317" spans="1:18" s="13" customFormat="1" ht="14.25" customHeight="1" x14ac:dyDescent="0.2">
      <c r="A317" s="411"/>
      <c r="B317" s="512"/>
      <c r="C317" s="325" t="s">
        <v>191</v>
      </c>
      <c r="D317" s="90"/>
      <c r="E317" s="90"/>
      <c r="F317" s="90"/>
      <c r="G317" s="90"/>
      <c r="H317" s="303">
        <f>I317+J317+K317+L317</f>
        <v>0</v>
      </c>
      <c r="I317" s="90"/>
      <c r="J317" s="297"/>
      <c r="K317" s="297"/>
      <c r="L317" s="297"/>
      <c r="M317" s="293">
        <f t="shared" si="121"/>
        <v>0</v>
      </c>
      <c r="N317" s="323"/>
      <c r="O317" s="323"/>
      <c r="P317" s="323"/>
      <c r="Q317" s="323"/>
      <c r="R317" s="451"/>
    </row>
    <row r="318" spans="1:18" s="13" customFormat="1" ht="14.25" customHeight="1" x14ac:dyDescent="0.2">
      <c r="A318" s="411"/>
      <c r="B318" s="512"/>
      <c r="C318" s="325">
        <v>2025</v>
      </c>
      <c r="D318" s="90"/>
      <c r="E318" s="90"/>
      <c r="F318" s="90"/>
      <c r="G318" s="90"/>
      <c r="H318" s="303">
        <f>I318+J318+K318+L318</f>
        <v>0</v>
      </c>
      <c r="I318" s="90"/>
      <c r="J318" s="297"/>
      <c r="K318" s="297"/>
      <c r="L318" s="297"/>
      <c r="M318" s="293">
        <f t="shared" si="121"/>
        <v>0</v>
      </c>
      <c r="N318" s="323"/>
      <c r="O318" s="323"/>
      <c r="P318" s="323"/>
      <c r="Q318" s="323"/>
      <c r="R318" s="451"/>
    </row>
    <row r="319" spans="1:18" s="13" customFormat="1" ht="16.5" customHeight="1" x14ac:dyDescent="0.2">
      <c r="A319" s="411"/>
      <c r="B319" s="512"/>
      <c r="C319" s="325" t="s">
        <v>26</v>
      </c>
      <c r="D319" s="90">
        <f t="shared" ref="D319:L319" si="123">SUM(D314:D318)</f>
        <v>937</v>
      </c>
      <c r="E319" s="90">
        <f t="shared" si="123"/>
        <v>3425.98</v>
      </c>
      <c r="F319" s="90">
        <f t="shared" si="123"/>
        <v>6.5090000000000003</v>
      </c>
      <c r="G319" s="90">
        <f t="shared" si="123"/>
        <v>14.003</v>
      </c>
      <c r="H319" s="389">
        <f t="shared" si="123"/>
        <v>126670.77</v>
      </c>
      <c r="I319" s="90">
        <f t="shared" si="123"/>
        <v>125652.22</v>
      </c>
      <c r="J319" s="90">
        <f t="shared" si="123"/>
        <v>0</v>
      </c>
      <c r="K319" s="90">
        <f t="shared" si="123"/>
        <v>1018.5500000000029</v>
      </c>
      <c r="L319" s="90">
        <f t="shared" si="123"/>
        <v>0</v>
      </c>
      <c r="M319" s="293">
        <f t="shared" si="121"/>
        <v>1018.5500000000029</v>
      </c>
      <c r="N319" s="323"/>
      <c r="O319" s="323"/>
      <c r="P319" s="323"/>
      <c r="Q319" s="323"/>
      <c r="R319" s="451"/>
    </row>
    <row r="320" spans="1:18" x14ac:dyDescent="0.2">
      <c r="A320" s="502" t="s">
        <v>29</v>
      </c>
      <c r="B320" s="502"/>
      <c r="C320" s="350">
        <v>2021</v>
      </c>
      <c r="D320" s="90">
        <f>D302+D308+D314</f>
        <v>1667</v>
      </c>
      <c r="E320" s="90">
        <f t="shared" ref="E320:L320" si="124">E302+E308+E314</f>
        <v>5436.5</v>
      </c>
      <c r="F320" s="90">
        <f t="shared" si="124"/>
        <v>13.979000000000001</v>
      </c>
      <c r="G320" s="90">
        <f t="shared" si="124"/>
        <v>21.643000000000001</v>
      </c>
      <c r="H320" s="90">
        <f t="shared" si="124"/>
        <v>152484.99</v>
      </c>
      <c r="I320" s="90">
        <f t="shared" si="124"/>
        <v>132216.03847999999</v>
      </c>
      <c r="J320" s="90">
        <f t="shared" si="124"/>
        <v>2494.78152</v>
      </c>
      <c r="K320" s="90">
        <f t="shared" si="124"/>
        <v>17774.170000000006</v>
      </c>
      <c r="L320" s="90">
        <f t="shared" si="124"/>
        <v>0</v>
      </c>
      <c r="M320" s="293">
        <f t="shared" si="121"/>
        <v>20268.951520000006</v>
      </c>
      <c r="N320" s="97"/>
      <c r="O320" s="97"/>
      <c r="P320" s="97"/>
      <c r="Q320" s="97"/>
      <c r="R320" s="466"/>
    </row>
    <row r="321" spans="1:18" x14ac:dyDescent="0.2">
      <c r="A321" s="502"/>
      <c r="B321" s="502"/>
      <c r="C321" s="350">
        <v>2022</v>
      </c>
      <c r="D321" s="90">
        <f t="shared" ref="D321:L324" si="125">D303+D309+D315</f>
        <v>0</v>
      </c>
      <c r="E321" s="90">
        <f t="shared" si="125"/>
        <v>0</v>
      </c>
      <c r="F321" s="90">
        <f t="shared" si="125"/>
        <v>0</v>
      </c>
      <c r="G321" s="90">
        <f t="shared" si="125"/>
        <v>0</v>
      </c>
      <c r="H321" s="90">
        <f t="shared" si="125"/>
        <v>11000</v>
      </c>
      <c r="I321" s="90">
        <f t="shared" si="125"/>
        <v>0</v>
      </c>
      <c r="J321" s="90">
        <f t="shared" si="125"/>
        <v>0</v>
      </c>
      <c r="K321" s="90">
        <f t="shared" si="125"/>
        <v>11000</v>
      </c>
      <c r="L321" s="90">
        <f t="shared" si="125"/>
        <v>0</v>
      </c>
      <c r="M321" s="293">
        <f t="shared" si="121"/>
        <v>11000</v>
      </c>
      <c r="N321" s="97"/>
      <c r="O321" s="97"/>
      <c r="P321" s="97"/>
      <c r="Q321" s="97"/>
      <c r="R321" s="466"/>
    </row>
    <row r="322" spans="1:18" x14ac:dyDescent="0.2">
      <c r="A322" s="502"/>
      <c r="B322" s="502"/>
      <c r="C322" s="350" t="s">
        <v>39</v>
      </c>
      <c r="D322" s="90">
        <f t="shared" si="125"/>
        <v>0</v>
      </c>
      <c r="E322" s="90">
        <f t="shared" si="125"/>
        <v>0</v>
      </c>
      <c r="F322" s="90">
        <f t="shared" si="125"/>
        <v>0</v>
      </c>
      <c r="G322" s="90">
        <f t="shared" si="125"/>
        <v>0</v>
      </c>
      <c r="H322" s="90">
        <f t="shared" si="125"/>
        <v>0</v>
      </c>
      <c r="I322" s="90">
        <f t="shared" si="125"/>
        <v>0</v>
      </c>
      <c r="J322" s="90">
        <f t="shared" si="125"/>
        <v>0</v>
      </c>
      <c r="K322" s="90">
        <f t="shared" si="125"/>
        <v>0</v>
      </c>
      <c r="L322" s="90">
        <f t="shared" si="125"/>
        <v>0</v>
      </c>
      <c r="M322" s="293">
        <f t="shared" si="121"/>
        <v>0</v>
      </c>
      <c r="N322" s="97"/>
      <c r="O322" s="97"/>
      <c r="P322" s="97"/>
      <c r="Q322" s="97"/>
      <c r="R322" s="466"/>
    </row>
    <row r="323" spans="1:18" x14ac:dyDescent="0.2">
      <c r="A323" s="502"/>
      <c r="B323" s="502"/>
      <c r="C323" s="350" t="s">
        <v>191</v>
      </c>
      <c r="D323" s="90">
        <f t="shared" si="125"/>
        <v>0</v>
      </c>
      <c r="E323" s="90">
        <f t="shared" si="125"/>
        <v>0</v>
      </c>
      <c r="F323" s="90">
        <f t="shared" si="125"/>
        <v>0</v>
      </c>
      <c r="G323" s="90">
        <f t="shared" si="125"/>
        <v>0</v>
      </c>
      <c r="H323" s="90">
        <f t="shared" si="125"/>
        <v>0</v>
      </c>
      <c r="I323" s="90">
        <f t="shared" si="125"/>
        <v>0</v>
      </c>
      <c r="J323" s="90">
        <f t="shared" si="125"/>
        <v>0</v>
      </c>
      <c r="K323" s="90">
        <f t="shared" si="125"/>
        <v>0</v>
      </c>
      <c r="L323" s="90">
        <f t="shared" si="125"/>
        <v>0</v>
      </c>
      <c r="M323" s="293">
        <f t="shared" si="121"/>
        <v>0</v>
      </c>
      <c r="N323" s="97"/>
      <c r="O323" s="97"/>
      <c r="P323" s="97"/>
      <c r="Q323" s="97"/>
      <c r="R323" s="466"/>
    </row>
    <row r="324" spans="1:18" x14ac:dyDescent="0.2">
      <c r="A324" s="502"/>
      <c r="B324" s="502"/>
      <c r="C324" s="350">
        <v>2025</v>
      </c>
      <c r="D324" s="90">
        <f t="shared" si="125"/>
        <v>0</v>
      </c>
      <c r="E324" s="90">
        <f t="shared" si="125"/>
        <v>0</v>
      </c>
      <c r="F324" s="90">
        <f t="shared" si="125"/>
        <v>0</v>
      </c>
      <c r="G324" s="90">
        <f t="shared" si="125"/>
        <v>0</v>
      </c>
      <c r="H324" s="90">
        <f t="shared" si="125"/>
        <v>0</v>
      </c>
      <c r="I324" s="90">
        <f t="shared" si="125"/>
        <v>0</v>
      </c>
      <c r="J324" s="90">
        <f t="shared" si="125"/>
        <v>0</v>
      </c>
      <c r="K324" s="90">
        <f t="shared" si="125"/>
        <v>0</v>
      </c>
      <c r="L324" s="90">
        <f t="shared" si="125"/>
        <v>0</v>
      </c>
      <c r="M324" s="293">
        <f t="shared" si="121"/>
        <v>0</v>
      </c>
      <c r="N324" s="97"/>
      <c r="O324" s="97"/>
      <c r="P324" s="97"/>
      <c r="Q324" s="97"/>
      <c r="R324" s="466"/>
    </row>
    <row r="325" spans="1:18" x14ac:dyDescent="0.2">
      <c r="A325" s="502"/>
      <c r="B325" s="502"/>
      <c r="C325" s="390" t="s">
        <v>12</v>
      </c>
      <c r="D325" s="391">
        <f>SUM(D320:D324)</f>
        <v>1667</v>
      </c>
      <c r="E325" s="391">
        <f t="shared" ref="E325:L325" si="126">SUM(E320:E324)</f>
        <v>5436.5</v>
      </c>
      <c r="F325" s="391">
        <f t="shared" si="126"/>
        <v>13.979000000000001</v>
      </c>
      <c r="G325" s="391">
        <f t="shared" si="126"/>
        <v>21.643000000000001</v>
      </c>
      <c r="H325" s="391">
        <f t="shared" si="126"/>
        <v>163484.99</v>
      </c>
      <c r="I325" s="391">
        <f t="shared" si="126"/>
        <v>132216.03847999999</v>
      </c>
      <c r="J325" s="391">
        <f t="shared" si="126"/>
        <v>2494.78152</v>
      </c>
      <c r="K325" s="391">
        <f t="shared" si="126"/>
        <v>28774.170000000006</v>
      </c>
      <c r="L325" s="391">
        <f t="shared" si="126"/>
        <v>0</v>
      </c>
      <c r="M325" s="392">
        <f t="shared" si="121"/>
        <v>31268.951520000006</v>
      </c>
      <c r="N325" s="393"/>
      <c r="O325" s="393"/>
      <c r="P325" s="393"/>
      <c r="Q325" s="393"/>
      <c r="R325" s="466"/>
    </row>
    <row r="326" spans="1:18" ht="15.75" customHeight="1" x14ac:dyDescent="0.2">
      <c r="A326" s="423" t="s">
        <v>114</v>
      </c>
      <c r="B326" s="424"/>
      <c r="C326" s="147"/>
      <c r="D326" s="148"/>
      <c r="E326" s="342"/>
      <c r="F326" s="148"/>
      <c r="G326" s="148"/>
      <c r="H326" s="147"/>
      <c r="I326" s="147"/>
      <c r="J326" s="151"/>
      <c r="K326" s="151"/>
      <c r="L326" s="151"/>
      <c r="M326" s="151"/>
      <c r="N326" s="147"/>
      <c r="O326" s="147"/>
      <c r="P326" s="147"/>
      <c r="Q326" s="147"/>
      <c r="R326" s="96"/>
    </row>
    <row r="327" spans="1:18" ht="15.75" customHeight="1" x14ac:dyDescent="0.2">
      <c r="A327" s="411">
        <v>38</v>
      </c>
      <c r="B327" s="487" t="s">
        <v>117</v>
      </c>
      <c r="C327" s="325">
        <v>2021</v>
      </c>
      <c r="D327" s="302">
        <v>179</v>
      </c>
      <c r="E327" s="302">
        <v>687.9</v>
      </c>
      <c r="F327" s="302">
        <v>1.0960000000000001</v>
      </c>
      <c r="G327" s="302">
        <v>12.15</v>
      </c>
      <c r="H327" s="304">
        <f>I327+J327+K327+L327</f>
        <v>4706.8099999999995</v>
      </c>
      <c r="I327" s="326">
        <v>0</v>
      </c>
      <c r="J327" s="296">
        <f>2206.81+1500+1000</f>
        <v>4706.8099999999995</v>
      </c>
      <c r="K327" s="296"/>
      <c r="L327" s="296">
        <v>0</v>
      </c>
      <c r="M327" s="101">
        <f t="shared" ref="M327:M338" si="127">J327+K327+L327</f>
        <v>4706.8099999999995</v>
      </c>
      <c r="N327" s="323" t="s">
        <v>48</v>
      </c>
      <c r="O327" s="323" t="s">
        <v>31</v>
      </c>
      <c r="P327" s="323"/>
      <c r="Q327" s="323"/>
      <c r="R327" s="515"/>
    </row>
    <row r="328" spans="1:18" ht="15" customHeight="1" x14ac:dyDescent="0.2">
      <c r="A328" s="411"/>
      <c r="B328" s="487"/>
      <c r="C328" s="325">
        <v>2022</v>
      </c>
      <c r="D328" s="302"/>
      <c r="E328" s="302"/>
      <c r="F328" s="302"/>
      <c r="G328" s="302"/>
      <c r="H328" s="304">
        <f>I328+J328+K328+L328</f>
        <v>46000</v>
      </c>
      <c r="I328" s="326">
        <v>0</v>
      </c>
      <c r="J328" s="296"/>
      <c r="K328" s="296">
        <v>46000</v>
      </c>
      <c r="L328" s="296">
        <v>0</v>
      </c>
      <c r="M328" s="101">
        <f t="shared" si="127"/>
        <v>46000</v>
      </c>
      <c r="N328" s="323"/>
      <c r="O328" s="323"/>
      <c r="P328" s="323" t="s">
        <v>28</v>
      </c>
      <c r="Q328" s="323" t="s">
        <v>31</v>
      </c>
      <c r="R328" s="516"/>
    </row>
    <row r="329" spans="1:18" ht="14.25" customHeight="1" x14ac:dyDescent="0.2">
      <c r="A329" s="411"/>
      <c r="B329" s="487"/>
      <c r="C329" s="325" t="s">
        <v>39</v>
      </c>
      <c r="D329" s="302"/>
      <c r="E329" s="302"/>
      <c r="F329" s="302"/>
      <c r="G329" s="302"/>
      <c r="H329" s="304">
        <f>I329+J329+K329+L329</f>
        <v>0</v>
      </c>
      <c r="I329" s="326">
        <v>0</v>
      </c>
      <c r="J329" s="296">
        <v>0</v>
      </c>
      <c r="K329" s="296">
        <v>0</v>
      </c>
      <c r="L329" s="296">
        <v>0</v>
      </c>
      <c r="M329" s="101">
        <f t="shared" si="127"/>
        <v>0</v>
      </c>
      <c r="N329" s="323"/>
      <c r="O329" s="323"/>
      <c r="P329" s="323"/>
      <c r="Q329" s="323"/>
      <c r="R329" s="516"/>
    </row>
    <row r="330" spans="1:18" ht="14.25" customHeight="1" x14ac:dyDescent="0.2">
      <c r="A330" s="411"/>
      <c r="B330" s="487"/>
      <c r="C330" s="325" t="s">
        <v>191</v>
      </c>
      <c r="D330" s="302"/>
      <c r="E330" s="302"/>
      <c r="F330" s="302"/>
      <c r="G330" s="302"/>
      <c r="H330" s="304">
        <f>I330+J330+K330+L330</f>
        <v>0</v>
      </c>
      <c r="I330" s="326">
        <v>0</v>
      </c>
      <c r="J330" s="296">
        <v>0</v>
      </c>
      <c r="K330" s="296">
        <v>0</v>
      </c>
      <c r="L330" s="296">
        <v>0</v>
      </c>
      <c r="M330" s="101">
        <f t="shared" si="127"/>
        <v>0</v>
      </c>
      <c r="N330" s="323"/>
      <c r="O330" s="323"/>
      <c r="P330" s="323"/>
      <c r="Q330" s="323"/>
      <c r="R330" s="516"/>
    </row>
    <row r="331" spans="1:18" ht="14.25" customHeight="1" x14ac:dyDescent="0.2">
      <c r="A331" s="411"/>
      <c r="B331" s="487"/>
      <c r="C331" s="325">
        <v>2025</v>
      </c>
      <c r="D331" s="302"/>
      <c r="E331" s="302"/>
      <c r="F331" s="302"/>
      <c r="G331" s="302"/>
      <c r="H331" s="304">
        <f>I331+J331+K331+L331</f>
        <v>0</v>
      </c>
      <c r="I331" s="326">
        <v>0</v>
      </c>
      <c r="J331" s="296">
        <f>G331*1800-J330</f>
        <v>0</v>
      </c>
      <c r="K331" s="296">
        <f>G331*4500</f>
        <v>0</v>
      </c>
      <c r="L331" s="296">
        <v>0</v>
      </c>
      <c r="M331" s="101">
        <f t="shared" si="127"/>
        <v>0</v>
      </c>
      <c r="N331" s="323"/>
      <c r="O331" s="323"/>
      <c r="P331" s="323"/>
      <c r="Q331" s="323"/>
      <c r="R331" s="516"/>
    </row>
    <row r="332" spans="1:18" ht="14.25" customHeight="1" x14ac:dyDescent="0.2">
      <c r="A332" s="411"/>
      <c r="B332" s="487"/>
      <c r="C332" s="325" t="s">
        <v>26</v>
      </c>
      <c r="D332" s="302">
        <f t="shared" ref="D332:L332" si="128">SUM(D327:D331)</f>
        <v>179</v>
      </c>
      <c r="E332" s="302">
        <f t="shared" si="128"/>
        <v>687.9</v>
      </c>
      <c r="F332" s="302">
        <f t="shared" si="128"/>
        <v>1.0960000000000001</v>
      </c>
      <c r="G332" s="302">
        <f t="shared" si="128"/>
        <v>12.15</v>
      </c>
      <c r="H332" s="327">
        <f t="shared" si="128"/>
        <v>50706.81</v>
      </c>
      <c r="I332" s="327">
        <f t="shared" si="128"/>
        <v>0</v>
      </c>
      <c r="J332" s="101">
        <f t="shared" si="128"/>
        <v>4706.8099999999995</v>
      </c>
      <c r="K332" s="101">
        <f t="shared" si="128"/>
        <v>46000</v>
      </c>
      <c r="L332" s="101">
        <f t="shared" si="128"/>
        <v>0</v>
      </c>
      <c r="M332" s="101">
        <f t="shared" si="127"/>
        <v>50706.81</v>
      </c>
      <c r="N332" s="323"/>
      <c r="O332" s="323"/>
      <c r="P332" s="323"/>
      <c r="Q332" s="323"/>
      <c r="R332" s="517"/>
    </row>
    <row r="333" spans="1:18" x14ac:dyDescent="0.2">
      <c r="A333" s="511" t="s">
        <v>29</v>
      </c>
      <c r="B333" s="511"/>
      <c r="C333" s="325">
        <v>2021</v>
      </c>
      <c r="D333" s="302">
        <f t="shared" ref="D333:L337" si="129">D327</f>
        <v>179</v>
      </c>
      <c r="E333" s="302">
        <f t="shared" si="129"/>
        <v>687.9</v>
      </c>
      <c r="F333" s="302">
        <f t="shared" si="129"/>
        <v>1.0960000000000001</v>
      </c>
      <c r="G333" s="302">
        <f t="shared" si="129"/>
        <v>12.15</v>
      </c>
      <c r="H333" s="302">
        <f t="shared" si="129"/>
        <v>4706.8099999999995</v>
      </c>
      <c r="I333" s="302">
        <f t="shared" si="129"/>
        <v>0</v>
      </c>
      <c r="J333" s="101">
        <f t="shared" si="129"/>
        <v>4706.8099999999995</v>
      </c>
      <c r="K333" s="101">
        <f t="shared" si="129"/>
        <v>0</v>
      </c>
      <c r="L333" s="101">
        <f t="shared" si="129"/>
        <v>0</v>
      </c>
      <c r="M333" s="101">
        <f t="shared" si="127"/>
        <v>4706.8099999999995</v>
      </c>
      <c r="N333" s="323"/>
      <c r="O333" s="323"/>
      <c r="P333" s="323"/>
      <c r="Q333" s="323"/>
      <c r="R333" s="515"/>
    </row>
    <row r="334" spans="1:18" x14ac:dyDescent="0.2">
      <c r="A334" s="511"/>
      <c r="B334" s="511"/>
      <c r="C334" s="325">
        <v>2022</v>
      </c>
      <c r="D334" s="302">
        <f t="shared" si="129"/>
        <v>0</v>
      </c>
      <c r="E334" s="302">
        <f t="shared" si="129"/>
        <v>0</v>
      </c>
      <c r="F334" s="302">
        <f t="shared" si="129"/>
        <v>0</v>
      </c>
      <c r="G334" s="302">
        <f t="shared" si="129"/>
        <v>0</v>
      </c>
      <c r="H334" s="302">
        <f t="shared" si="129"/>
        <v>46000</v>
      </c>
      <c r="I334" s="302">
        <f t="shared" si="129"/>
        <v>0</v>
      </c>
      <c r="J334" s="101">
        <f t="shared" si="129"/>
        <v>0</v>
      </c>
      <c r="K334" s="101">
        <f t="shared" si="129"/>
        <v>46000</v>
      </c>
      <c r="L334" s="101">
        <f t="shared" si="129"/>
        <v>0</v>
      </c>
      <c r="M334" s="101">
        <f t="shared" si="127"/>
        <v>46000</v>
      </c>
      <c r="N334" s="323"/>
      <c r="O334" s="323"/>
      <c r="P334" s="323"/>
      <c r="Q334" s="323"/>
      <c r="R334" s="516"/>
    </row>
    <row r="335" spans="1:18" x14ac:dyDescent="0.2">
      <c r="A335" s="511"/>
      <c r="B335" s="511"/>
      <c r="C335" s="325" t="s">
        <v>39</v>
      </c>
      <c r="D335" s="302">
        <f t="shared" si="129"/>
        <v>0</v>
      </c>
      <c r="E335" s="302">
        <f t="shared" si="129"/>
        <v>0</v>
      </c>
      <c r="F335" s="302">
        <f t="shared" si="129"/>
        <v>0</v>
      </c>
      <c r="G335" s="302">
        <f t="shared" si="129"/>
        <v>0</v>
      </c>
      <c r="H335" s="302">
        <f t="shared" si="129"/>
        <v>0</v>
      </c>
      <c r="I335" s="302">
        <f t="shared" si="129"/>
        <v>0</v>
      </c>
      <c r="J335" s="101">
        <f t="shared" si="129"/>
        <v>0</v>
      </c>
      <c r="K335" s="101">
        <f t="shared" si="129"/>
        <v>0</v>
      </c>
      <c r="L335" s="101">
        <f t="shared" si="129"/>
        <v>0</v>
      </c>
      <c r="M335" s="101">
        <f t="shared" si="127"/>
        <v>0</v>
      </c>
      <c r="N335" s="323"/>
      <c r="O335" s="323"/>
      <c r="P335" s="323"/>
      <c r="Q335" s="323"/>
      <c r="R335" s="516"/>
    </row>
    <row r="336" spans="1:18" x14ac:dyDescent="0.2">
      <c r="A336" s="511"/>
      <c r="B336" s="511"/>
      <c r="C336" s="325" t="s">
        <v>191</v>
      </c>
      <c r="D336" s="302">
        <f t="shared" si="129"/>
        <v>0</v>
      </c>
      <c r="E336" s="302">
        <f t="shared" si="129"/>
        <v>0</v>
      </c>
      <c r="F336" s="302">
        <f t="shared" si="129"/>
        <v>0</v>
      </c>
      <c r="G336" s="302">
        <f t="shared" si="129"/>
        <v>0</v>
      </c>
      <c r="H336" s="302">
        <f t="shared" si="129"/>
        <v>0</v>
      </c>
      <c r="I336" s="302">
        <f t="shared" si="129"/>
        <v>0</v>
      </c>
      <c r="J336" s="101">
        <f t="shared" si="129"/>
        <v>0</v>
      </c>
      <c r="K336" s="101">
        <f t="shared" si="129"/>
        <v>0</v>
      </c>
      <c r="L336" s="101">
        <f t="shared" si="129"/>
        <v>0</v>
      </c>
      <c r="M336" s="101">
        <f t="shared" si="127"/>
        <v>0</v>
      </c>
      <c r="N336" s="323"/>
      <c r="O336" s="323"/>
      <c r="P336" s="323"/>
      <c r="Q336" s="323"/>
      <c r="R336" s="516"/>
    </row>
    <row r="337" spans="1:18" x14ac:dyDescent="0.2">
      <c r="A337" s="511"/>
      <c r="B337" s="511"/>
      <c r="C337" s="325">
        <v>2025</v>
      </c>
      <c r="D337" s="302">
        <f>D331</f>
        <v>0</v>
      </c>
      <c r="E337" s="302">
        <f t="shared" si="129"/>
        <v>0</v>
      </c>
      <c r="F337" s="302">
        <f t="shared" si="129"/>
        <v>0</v>
      </c>
      <c r="G337" s="302">
        <f t="shared" si="129"/>
        <v>0</v>
      </c>
      <c r="H337" s="302">
        <f t="shared" si="129"/>
        <v>0</v>
      </c>
      <c r="I337" s="302">
        <f t="shared" si="129"/>
        <v>0</v>
      </c>
      <c r="J337" s="101">
        <f t="shared" si="129"/>
        <v>0</v>
      </c>
      <c r="K337" s="101">
        <f t="shared" si="129"/>
        <v>0</v>
      </c>
      <c r="L337" s="101">
        <f t="shared" si="129"/>
        <v>0</v>
      </c>
      <c r="M337" s="101">
        <f t="shared" si="127"/>
        <v>0</v>
      </c>
      <c r="N337" s="323"/>
      <c r="O337" s="323"/>
      <c r="P337" s="323"/>
      <c r="Q337" s="323"/>
      <c r="R337" s="516"/>
    </row>
    <row r="338" spans="1:18" ht="20.25" customHeight="1" x14ac:dyDescent="0.2">
      <c r="A338" s="511"/>
      <c r="B338" s="511"/>
      <c r="C338" s="325" t="s">
        <v>12</v>
      </c>
      <c r="D338" s="302">
        <f t="shared" ref="D338:L338" si="130">SUM(D333:D337)</f>
        <v>179</v>
      </c>
      <c r="E338" s="302">
        <f t="shared" si="130"/>
        <v>687.9</v>
      </c>
      <c r="F338" s="302">
        <f t="shared" si="130"/>
        <v>1.0960000000000001</v>
      </c>
      <c r="G338" s="302">
        <f t="shared" si="130"/>
        <v>12.15</v>
      </c>
      <c r="H338" s="302">
        <f t="shared" si="130"/>
        <v>50706.81</v>
      </c>
      <c r="I338" s="302">
        <f t="shared" si="130"/>
        <v>0</v>
      </c>
      <c r="J338" s="101">
        <f t="shared" si="130"/>
        <v>4706.8099999999995</v>
      </c>
      <c r="K338" s="101">
        <f t="shared" si="130"/>
        <v>46000</v>
      </c>
      <c r="L338" s="101">
        <f t="shared" si="130"/>
        <v>0</v>
      </c>
      <c r="M338" s="101">
        <f t="shared" si="127"/>
        <v>50706.81</v>
      </c>
      <c r="N338" s="323"/>
      <c r="O338" s="323"/>
      <c r="P338" s="323"/>
      <c r="Q338" s="323"/>
      <c r="R338" s="517"/>
    </row>
    <row r="339" spans="1:18" ht="13.5" hidden="1" customHeight="1" outlineLevel="1" x14ac:dyDescent="0.2">
      <c r="A339" s="423" t="s">
        <v>201</v>
      </c>
      <c r="B339" s="424"/>
      <c r="C339" s="147"/>
      <c r="D339" s="148"/>
      <c r="E339" s="342"/>
      <c r="F339" s="148"/>
      <c r="G339" s="148"/>
      <c r="H339" s="147"/>
      <c r="I339" s="147"/>
      <c r="J339" s="151"/>
      <c r="K339" s="151"/>
      <c r="L339" s="151"/>
      <c r="M339" s="151"/>
      <c r="N339" s="147"/>
      <c r="O339" s="147"/>
      <c r="P339" s="147"/>
      <c r="Q339" s="147"/>
      <c r="R339" s="306"/>
    </row>
    <row r="340" spans="1:18" ht="13.5" hidden="1" customHeight="1" outlineLevel="1" x14ac:dyDescent="0.2">
      <c r="A340" s="411">
        <v>33</v>
      </c>
      <c r="B340" s="487"/>
      <c r="C340" s="325">
        <v>2021</v>
      </c>
      <c r="D340" s="302"/>
      <c r="E340" s="302"/>
      <c r="F340" s="302"/>
      <c r="G340" s="302"/>
      <c r="H340" s="304">
        <f>I340+J340+K340+L340</f>
        <v>0</v>
      </c>
      <c r="I340" s="326">
        <v>0</v>
      </c>
      <c r="J340" s="296"/>
      <c r="K340" s="296"/>
      <c r="L340" s="296">
        <v>0</v>
      </c>
      <c r="M340" s="101">
        <f t="shared" ref="M340:M351" si="131">J340+K340+L340</f>
        <v>0</v>
      </c>
      <c r="N340" s="323"/>
      <c r="O340" s="323"/>
      <c r="P340" s="323"/>
      <c r="Q340" s="323"/>
      <c r="R340" s="515"/>
    </row>
    <row r="341" spans="1:18" ht="13.5" hidden="1" customHeight="1" outlineLevel="1" x14ac:dyDescent="0.2">
      <c r="A341" s="411"/>
      <c r="B341" s="487"/>
      <c r="C341" s="325">
        <v>2022</v>
      </c>
      <c r="D341" s="302"/>
      <c r="E341" s="302"/>
      <c r="F341" s="302"/>
      <c r="G341" s="302"/>
      <c r="H341" s="304">
        <f>I341+J341+K341+L341</f>
        <v>0</v>
      </c>
      <c r="I341" s="326">
        <v>0</v>
      </c>
      <c r="J341" s="296"/>
      <c r="K341" s="296"/>
      <c r="L341" s="296">
        <v>0</v>
      </c>
      <c r="M341" s="101">
        <f t="shared" si="131"/>
        <v>0</v>
      </c>
      <c r="N341" s="323"/>
      <c r="O341" s="323"/>
      <c r="P341" s="323"/>
      <c r="Q341" s="323"/>
      <c r="R341" s="516"/>
    </row>
    <row r="342" spans="1:18" ht="13.5" hidden="1" customHeight="1" outlineLevel="1" x14ac:dyDescent="0.2">
      <c r="A342" s="411"/>
      <c r="B342" s="487"/>
      <c r="C342" s="325" t="s">
        <v>39</v>
      </c>
      <c r="D342" s="302">
        <v>0</v>
      </c>
      <c r="E342" s="302">
        <v>0</v>
      </c>
      <c r="F342" s="302">
        <v>0</v>
      </c>
      <c r="G342" s="302">
        <v>0</v>
      </c>
      <c r="H342" s="304">
        <f>I342+J342+K342+L342</f>
        <v>0</v>
      </c>
      <c r="I342" s="326">
        <v>0</v>
      </c>
      <c r="J342" s="296">
        <v>0</v>
      </c>
      <c r="K342" s="296">
        <v>0</v>
      </c>
      <c r="L342" s="296">
        <v>0</v>
      </c>
      <c r="M342" s="101">
        <f t="shared" si="131"/>
        <v>0</v>
      </c>
      <c r="N342" s="323" t="s">
        <v>28</v>
      </c>
      <c r="O342" s="323" t="s">
        <v>53</v>
      </c>
      <c r="P342" s="323" t="s">
        <v>57</v>
      </c>
      <c r="Q342" s="323"/>
      <c r="R342" s="516"/>
    </row>
    <row r="343" spans="1:18" ht="13.5" hidden="1" customHeight="1" outlineLevel="1" x14ac:dyDescent="0.2">
      <c r="A343" s="411"/>
      <c r="B343" s="487"/>
      <c r="C343" s="325" t="s">
        <v>191</v>
      </c>
      <c r="D343" s="302"/>
      <c r="E343" s="302"/>
      <c r="F343" s="302"/>
      <c r="G343" s="302"/>
      <c r="H343" s="304">
        <f>I343+J343+K343+L343</f>
        <v>0</v>
      </c>
      <c r="I343" s="326">
        <v>0</v>
      </c>
      <c r="J343" s="296"/>
      <c r="K343" s="296">
        <v>0</v>
      </c>
      <c r="L343" s="296">
        <v>0</v>
      </c>
      <c r="M343" s="101">
        <f t="shared" si="131"/>
        <v>0</v>
      </c>
      <c r="N343" s="323"/>
      <c r="O343" s="323"/>
      <c r="P343" s="323"/>
      <c r="Q343" s="323" t="s">
        <v>54</v>
      </c>
      <c r="R343" s="516"/>
    </row>
    <row r="344" spans="1:18" ht="13.5" hidden="1" customHeight="1" outlineLevel="1" x14ac:dyDescent="0.2">
      <c r="A344" s="411"/>
      <c r="B344" s="487"/>
      <c r="C344" s="325">
        <v>2025</v>
      </c>
      <c r="D344" s="302"/>
      <c r="E344" s="302"/>
      <c r="F344" s="302"/>
      <c r="G344" s="302"/>
      <c r="H344" s="304"/>
      <c r="I344" s="326">
        <v>0</v>
      </c>
      <c r="J344" s="296"/>
      <c r="K344" s="296"/>
      <c r="L344" s="296">
        <v>0</v>
      </c>
      <c r="M344" s="101">
        <f t="shared" si="131"/>
        <v>0</v>
      </c>
      <c r="N344" s="323"/>
      <c r="O344" s="323"/>
      <c r="P344" s="323"/>
      <c r="Q344" s="323"/>
      <c r="R344" s="516"/>
    </row>
    <row r="345" spans="1:18" ht="13.5" hidden="1" customHeight="1" outlineLevel="1" x14ac:dyDescent="0.2">
      <c r="A345" s="411"/>
      <c r="B345" s="487"/>
      <c r="C345" s="325" t="s">
        <v>26</v>
      </c>
      <c r="D345" s="302">
        <f t="shared" ref="D345:L345" si="132">SUM(D340:D344)</f>
        <v>0</v>
      </c>
      <c r="E345" s="302">
        <f t="shared" si="132"/>
        <v>0</v>
      </c>
      <c r="F345" s="302">
        <f t="shared" si="132"/>
        <v>0</v>
      </c>
      <c r="G345" s="302">
        <f t="shared" si="132"/>
        <v>0</v>
      </c>
      <c r="H345" s="327">
        <f t="shared" si="132"/>
        <v>0</v>
      </c>
      <c r="I345" s="327">
        <f t="shared" si="132"/>
        <v>0</v>
      </c>
      <c r="J345" s="101">
        <f t="shared" si="132"/>
        <v>0</v>
      </c>
      <c r="K345" s="101">
        <f t="shared" si="132"/>
        <v>0</v>
      </c>
      <c r="L345" s="101">
        <f t="shared" si="132"/>
        <v>0</v>
      </c>
      <c r="M345" s="101">
        <f t="shared" si="131"/>
        <v>0</v>
      </c>
      <c r="N345" s="323"/>
      <c r="O345" s="323"/>
      <c r="P345" s="323"/>
      <c r="Q345" s="323"/>
      <c r="R345" s="517"/>
    </row>
    <row r="346" spans="1:18" hidden="1" outlineLevel="1" x14ac:dyDescent="0.2">
      <c r="A346" s="511" t="s">
        <v>29</v>
      </c>
      <c r="B346" s="511"/>
      <c r="C346" s="325">
        <v>2021</v>
      </c>
      <c r="D346" s="302">
        <f t="shared" ref="D346:L346" si="133">D340</f>
        <v>0</v>
      </c>
      <c r="E346" s="302">
        <f t="shared" si="133"/>
        <v>0</v>
      </c>
      <c r="F346" s="302">
        <f t="shared" si="133"/>
        <v>0</v>
      </c>
      <c r="G346" s="302">
        <f t="shared" si="133"/>
        <v>0</v>
      </c>
      <c r="H346" s="302">
        <f t="shared" si="133"/>
        <v>0</v>
      </c>
      <c r="I346" s="302">
        <f t="shared" si="133"/>
        <v>0</v>
      </c>
      <c r="J346" s="101">
        <f t="shared" si="133"/>
        <v>0</v>
      </c>
      <c r="K346" s="101">
        <f t="shared" si="133"/>
        <v>0</v>
      </c>
      <c r="L346" s="101">
        <f t="shared" si="133"/>
        <v>0</v>
      </c>
      <c r="M346" s="101">
        <f t="shared" si="131"/>
        <v>0</v>
      </c>
      <c r="N346" s="323"/>
      <c r="O346" s="323"/>
      <c r="P346" s="323"/>
      <c r="Q346" s="323"/>
      <c r="R346" s="515"/>
    </row>
    <row r="347" spans="1:18" hidden="1" outlineLevel="1" x14ac:dyDescent="0.2">
      <c r="A347" s="511"/>
      <c r="B347" s="511"/>
      <c r="C347" s="325">
        <v>2022</v>
      </c>
      <c r="D347" s="302">
        <f t="shared" ref="D347:L347" si="134">D341</f>
        <v>0</v>
      </c>
      <c r="E347" s="302">
        <f t="shared" si="134"/>
        <v>0</v>
      </c>
      <c r="F347" s="302">
        <f t="shared" si="134"/>
        <v>0</v>
      </c>
      <c r="G347" s="302">
        <f t="shared" si="134"/>
        <v>0</v>
      </c>
      <c r="H347" s="302">
        <f t="shared" si="134"/>
        <v>0</v>
      </c>
      <c r="I347" s="302">
        <f t="shared" si="134"/>
        <v>0</v>
      </c>
      <c r="J347" s="101">
        <f t="shared" si="134"/>
        <v>0</v>
      </c>
      <c r="K347" s="101">
        <f t="shared" si="134"/>
        <v>0</v>
      </c>
      <c r="L347" s="101">
        <f t="shared" si="134"/>
        <v>0</v>
      </c>
      <c r="M347" s="101">
        <f t="shared" si="131"/>
        <v>0</v>
      </c>
      <c r="N347" s="323"/>
      <c r="O347" s="323"/>
      <c r="P347" s="323"/>
      <c r="Q347" s="323"/>
      <c r="R347" s="516"/>
    </row>
    <row r="348" spans="1:18" hidden="1" outlineLevel="1" x14ac:dyDescent="0.2">
      <c r="A348" s="511"/>
      <c r="B348" s="511"/>
      <c r="C348" s="325" t="s">
        <v>39</v>
      </c>
      <c r="D348" s="302">
        <f t="shared" ref="D348:L348" si="135">D342</f>
        <v>0</v>
      </c>
      <c r="E348" s="302">
        <f t="shared" si="135"/>
        <v>0</v>
      </c>
      <c r="F348" s="302">
        <f t="shared" si="135"/>
        <v>0</v>
      </c>
      <c r="G348" s="302">
        <f t="shared" si="135"/>
        <v>0</v>
      </c>
      <c r="H348" s="302">
        <f t="shared" si="135"/>
        <v>0</v>
      </c>
      <c r="I348" s="302">
        <f t="shared" si="135"/>
        <v>0</v>
      </c>
      <c r="J348" s="101">
        <f t="shared" si="135"/>
        <v>0</v>
      </c>
      <c r="K348" s="101">
        <f t="shared" si="135"/>
        <v>0</v>
      </c>
      <c r="L348" s="101">
        <f t="shared" si="135"/>
        <v>0</v>
      </c>
      <c r="M348" s="101">
        <f t="shared" si="131"/>
        <v>0</v>
      </c>
      <c r="N348" s="323"/>
      <c r="O348" s="323"/>
      <c r="P348" s="323"/>
      <c r="Q348" s="323"/>
      <c r="R348" s="516"/>
    </row>
    <row r="349" spans="1:18" hidden="1" outlineLevel="1" x14ac:dyDescent="0.2">
      <c r="A349" s="511"/>
      <c r="B349" s="511"/>
      <c r="C349" s="325" t="s">
        <v>191</v>
      </c>
      <c r="D349" s="302">
        <f t="shared" ref="D349:L349" si="136">D343</f>
        <v>0</v>
      </c>
      <c r="E349" s="302">
        <f t="shared" si="136"/>
        <v>0</v>
      </c>
      <c r="F349" s="302">
        <f t="shared" si="136"/>
        <v>0</v>
      </c>
      <c r="G349" s="302">
        <f t="shared" si="136"/>
        <v>0</v>
      </c>
      <c r="H349" s="302">
        <f t="shared" si="136"/>
        <v>0</v>
      </c>
      <c r="I349" s="302">
        <f t="shared" si="136"/>
        <v>0</v>
      </c>
      <c r="J349" s="101">
        <f t="shared" si="136"/>
        <v>0</v>
      </c>
      <c r="K349" s="101">
        <f t="shared" si="136"/>
        <v>0</v>
      </c>
      <c r="L349" s="101">
        <f t="shared" si="136"/>
        <v>0</v>
      </c>
      <c r="M349" s="101">
        <f t="shared" si="131"/>
        <v>0</v>
      </c>
      <c r="N349" s="323"/>
      <c r="O349" s="323"/>
      <c r="P349" s="323"/>
      <c r="Q349" s="323"/>
      <c r="R349" s="516"/>
    </row>
    <row r="350" spans="1:18" hidden="1" outlineLevel="1" x14ac:dyDescent="0.2">
      <c r="A350" s="511"/>
      <c r="B350" s="511"/>
      <c r="C350" s="325">
        <v>2025</v>
      </c>
      <c r="D350" s="302">
        <f>D344</f>
        <v>0</v>
      </c>
      <c r="E350" s="302">
        <f t="shared" ref="E350:L350" si="137">E344</f>
        <v>0</v>
      </c>
      <c r="F350" s="302">
        <f t="shared" si="137"/>
        <v>0</v>
      </c>
      <c r="G350" s="302">
        <f t="shared" si="137"/>
        <v>0</v>
      </c>
      <c r="H350" s="302">
        <f t="shared" si="137"/>
        <v>0</v>
      </c>
      <c r="I350" s="302">
        <f t="shared" si="137"/>
        <v>0</v>
      </c>
      <c r="J350" s="101">
        <f t="shared" si="137"/>
        <v>0</v>
      </c>
      <c r="K350" s="101">
        <v>22500</v>
      </c>
      <c r="L350" s="101">
        <f t="shared" si="137"/>
        <v>0</v>
      </c>
      <c r="M350" s="101">
        <f t="shared" si="131"/>
        <v>22500</v>
      </c>
      <c r="N350" s="323"/>
      <c r="O350" s="323"/>
      <c r="P350" s="323"/>
      <c r="Q350" s="323"/>
      <c r="R350" s="516"/>
    </row>
    <row r="351" spans="1:18" hidden="1" outlineLevel="1" x14ac:dyDescent="0.2">
      <c r="A351" s="511"/>
      <c r="B351" s="511"/>
      <c r="C351" s="325" t="s">
        <v>12</v>
      </c>
      <c r="D351" s="302">
        <f t="shared" ref="D351:L351" si="138">SUM(D346:D350)</f>
        <v>0</v>
      </c>
      <c r="E351" s="302">
        <f t="shared" si="138"/>
        <v>0</v>
      </c>
      <c r="F351" s="302">
        <f t="shared" si="138"/>
        <v>0</v>
      </c>
      <c r="G351" s="302">
        <f t="shared" si="138"/>
        <v>0</v>
      </c>
      <c r="H351" s="302">
        <f t="shared" si="138"/>
        <v>0</v>
      </c>
      <c r="I351" s="302">
        <f t="shared" si="138"/>
        <v>0</v>
      </c>
      <c r="J351" s="101">
        <f t="shared" si="138"/>
        <v>0</v>
      </c>
      <c r="K351" s="101">
        <f t="shared" si="138"/>
        <v>22500</v>
      </c>
      <c r="L351" s="101">
        <f t="shared" si="138"/>
        <v>0</v>
      </c>
      <c r="M351" s="101">
        <f t="shared" si="131"/>
        <v>22500</v>
      </c>
      <c r="N351" s="323"/>
      <c r="O351" s="323"/>
      <c r="P351" s="323"/>
      <c r="Q351" s="323"/>
      <c r="R351" s="517"/>
    </row>
    <row r="352" spans="1:18" collapsed="1" x14ac:dyDescent="0.2">
      <c r="A352" s="473" t="s">
        <v>9</v>
      </c>
      <c r="B352" s="474"/>
      <c r="C352" s="7"/>
      <c r="D352" s="10"/>
      <c r="E352" s="346"/>
      <c r="F352" s="10"/>
      <c r="G352" s="10"/>
      <c r="H352" s="8"/>
      <c r="I352" s="7"/>
      <c r="J352" s="17"/>
      <c r="K352" s="17"/>
      <c r="L352" s="17"/>
      <c r="M352" s="17"/>
      <c r="N352" s="7"/>
      <c r="O352" s="7"/>
      <c r="P352" s="7"/>
      <c r="Q352" s="7"/>
    </row>
    <row r="353" spans="1:18" ht="15.75" customHeight="1" x14ac:dyDescent="0.2">
      <c r="A353" s="464">
        <v>39</v>
      </c>
      <c r="B353" s="512" t="s">
        <v>104</v>
      </c>
      <c r="C353" s="350">
        <v>2021</v>
      </c>
      <c r="D353" s="346">
        <v>2206</v>
      </c>
      <c r="E353" s="346">
        <v>2509.59</v>
      </c>
      <c r="F353" s="345">
        <v>6.3</v>
      </c>
      <c r="G353" s="91">
        <v>4.6399999999999997</v>
      </c>
      <c r="H353" s="305">
        <f>I353+J353+K353+L353</f>
        <v>55480.639999999999</v>
      </c>
      <c r="I353" s="379">
        <v>2092.1640000000002</v>
      </c>
      <c r="J353" s="94">
        <v>2500</v>
      </c>
      <c r="K353" s="94">
        <f>55480.64-I353-J353</f>
        <v>50888.476000000002</v>
      </c>
      <c r="L353" s="94"/>
      <c r="M353" s="94">
        <f t="shared" ref="M353:M370" si="139">J353+K353+L353</f>
        <v>53388.476000000002</v>
      </c>
      <c r="N353" s="359">
        <v>43831</v>
      </c>
      <c r="O353" s="97" t="s">
        <v>71</v>
      </c>
      <c r="P353" s="97" t="s">
        <v>52</v>
      </c>
      <c r="Q353" s="97" t="s">
        <v>31</v>
      </c>
      <c r="R353" s="491" t="s">
        <v>94</v>
      </c>
    </row>
    <row r="354" spans="1:18" ht="15.75" customHeight="1" x14ac:dyDescent="0.2">
      <c r="A354" s="464"/>
      <c r="B354" s="512"/>
      <c r="C354" s="350">
        <v>2022</v>
      </c>
      <c r="D354" s="346"/>
      <c r="E354" s="346"/>
      <c r="F354" s="345"/>
      <c r="G354" s="91"/>
      <c r="H354" s="305">
        <f>I354+J354+K354+L354</f>
        <v>0</v>
      </c>
      <c r="I354" s="379">
        <v>0</v>
      </c>
      <c r="J354" s="94"/>
      <c r="K354" s="94"/>
      <c r="L354" s="94"/>
      <c r="M354" s="94">
        <f t="shared" si="139"/>
        <v>0</v>
      </c>
      <c r="N354" s="97"/>
      <c r="O354" s="97"/>
      <c r="P354" s="97"/>
      <c r="Q354" s="97"/>
      <c r="R354" s="491"/>
    </row>
    <row r="355" spans="1:18" ht="15.75" customHeight="1" x14ac:dyDescent="0.2">
      <c r="A355" s="464"/>
      <c r="B355" s="512"/>
      <c r="C355" s="350" t="s">
        <v>39</v>
      </c>
      <c r="D355" s="346"/>
      <c r="E355" s="10"/>
      <c r="F355" s="345"/>
      <c r="G355" s="91"/>
      <c r="H355" s="305">
        <f>I355+J355+K355+L355</f>
        <v>0</v>
      </c>
      <c r="I355" s="379">
        <v>0</v>
      </c>
      <c r="J355" s="94"/>
      <c r="K355" s="94"/>
      <c r="L355" s="94"/>
      <c r="M355" s="94">
        <f t="shared" si="139"/>
        <v>0</v>
      </c>
      <c r="N355" s="97"/>
      <c r="O355" s="97"/>
      <c r="P355" s="97"/>
      <c r="Q355" s="97"/>
      <c r="R355" s="491"/>
    </row>
    <row r="356" spans="1:18" ht="15.75" customHeight="1" x14ac:dyDescent="0.2">
      <c r="A356" s="464"/>
      <c r="B356" s="512"/>
      <c r="C356" s="350" t="s">
        <v>191</v>
      </c>
      <c r="D356" s="346"/>
      <c r="E356" s="10"/>
      <c r="F356" s="345"/>
      <c r="G356" s="91"/>
      <c r="H356" s="305">
        <f>I356+J356+K356+L356</f>
        <v>0</v>
      </c>
      <c r="I356" s="379">
        <v>0</v>
      </c>
      <c r="J356" s="94"/>
      <c r="K356" s="94"/>
      <c r="L356" s="94"/>
      <c r="M356" s="94">
        <f t="shared" si="139"/>
        <v>0</v>
      </c>
      <c r="N356" s="97"/>
      <c r="O356" s="97"/>
      <c r="P356" s="97"/>
      <c r="Q356" s="97"/>
      <c r="R356" s="491"/>
    </row>
    <row r="357" spans="1:18" ht="15.75" customHeight="1" x14ac:dyDescent="0.2">
      <c r="A357" s="464"/>
      <c r="B357" s="512"/>
      <c r="C357" s="350">
        <v>2025</v>
      </c>
      <c r="D357" s="346"/>
      <c r="E357" s="346"/>
      <c r="F357" s="345"/>
      <c r="G357" s="91"/>
      <c r="H357" s="305">
        <f>I357+J357+K357+L357</f>
        <v>0</v>
      </c>
      <c r="I357" s="379">
        <v>0</v>
      </c>
      <c r="J357" s="94"/>
      <c r="K357" s="94"/>
      <c r="L357" s="94"/>
      <c r="M357" s="94">
        <f t="shared" si="139"/>
        <v>0</v>
      </c>
      <c r="N357" s="394"/>
      <c r="O357" s="394"/>
      <c r="P357" s="394"/>
      <c r="Q357" s="394"/>
      <c r="R357" s="491"/>
    </row>
    <row r="358" spans="1:18" ht="15.75" customHeight="1" x14ac:dyDescent="0.2">
      <c r="A358" s="464"/>
      <c r="B358" s="512"/>
      <c r="C358" s="350" t="s">
        <v>26</v>
      </c>
      <c r="D358" s="345">
        <f t="shared" ref="D358:J358" si="140">SUM(D353:D357)</f>
        <v>2206</v>
      </c>
      <c r="E358" s="345">
        <f t="shared" si="140"/>
        <v>2509.59</v>
      </c>
      <c r="F358" s="345">
        <f t="shared" si="140"/>
        <v>6.3</v>
      </c>
      <c r="G358" s="91">
        <f t="shared" si="140"/>
        <v>4.6399999999999997</v>
      </c>
      <c r="H358" s="395">
        <f>SUM(H353:H357)</f>
        <v>55480.639999999999</v>
      </c>
      <c r="I358" s="395">
        <f t="shared" si="140"/>
        <v>2092.1640000000002</v>
      </c>
      <c r="J358" s="354">
        <f t="shared" si="140"/>
        <v>2500</v>
      </c>
      <c r="K358" s="354">
        <f>SUM(K353:K357)</f>
        <v>50888.476000000002</v>
      </c>
      <c r="L358" s="354">
        <f>SUM(L353:L357)</f>
        <v>0</v>
      </c>
      <c r="M358" s="94">
        <f t="shared" si="139"/>
        <v>53388.476000000002</v>
      </c>
      <c r="N358" s="97"/>
      <c r="O358" s="97"/>
      <c r="P358" s="97"/>
      <c r="Q358" s="97"/>
      <c r="R358" s="491"/>
    </row>
    <row r="359" spans="1:18" ht="15.75" customHeight="1" x14ac:dyDescent="0.2">
      <c r="A359" s="464">
        <v>40</v>
      </c>
      <c r="B359" s="512" t="s">
        <v>72</v>
      </c>
      <c r="C359" s="350">
        <v>2021</v>
      </c>
      <c r="D359" s="346"/>
      <c r="E359" s="10"/>
      <c r="F359" s="345"/>
      <c r="G359" s="91"/>
      <c r="H359" s="305">
        <f>I359+J359+K359+L359</f>
        <v>0</v>
      </c>
      <c r="I359" s="379">
        <v>0</v>
      </c>
      <c r="J359" s="94"/>
      <c r="K359" s="94"/>
      <c r="L359" s="94"/>
      <c r="M359" s="94">
        <f t="shared" si="139"/>
        <v>0</v>
      </c>
      <c r="N359" s="97"/>
      <c r="O359" s="97"/>
      <c r="P359" s="97"/>
      <c r="Q359" s="97"/>
      <c r="R359" s="501"/>
    </row>
    <row r="360" spans="1:18" ht="15.75" customHeight="1" x14ac:dyDescent="0.2">
      <c r="A360" s="464"/>
      <c r="B360" s="512"/>
      <c r="C360" s="350">
        <v>2022</v>
      </c>
      <c r="D360" s="346"/>
      <c r="E360" s="10"/>
      <c r="F360" s="345"/>
      <c r="G360" s="91"/>
      <c r="H360" s="305">
        <f>I360+J360+K360+L360</f>
        <v>0</v>
      </c>
      <c r="I360" s="379">
        <v>0</v>
      </c>
      <c r="J360" s="94"/>
      <c r="K360" s="94"/>
      <c r="L360" s="94"/>
      <c r="M360" s="94">
        <f t="shared" si="139"/>
        <v>0</v>
      </c>
      <c r="N360" s="97"/>
      <c r="O360" s="97"/>
      <c r="P360" s="97"/>
      <c r="Q360" s="97"/>
      <c r="R360" s="501"/>
    </row>
    <row r="361" spans="1:18" ht="15.75" customHeight="1" x14ac:dyDescent="0.2">
      <c r="A361" s="464"/>
      <c r="B361" s="512"/>
      <c r="C361" s="350" t="s">
        <v>39</v>
      </c>
      <c r="D361" s="346">
        <v>55</v>
      </c>
      <c r="E361" s="355">
        <f>64.254+12.87</f>
        <v>77.124000000000009</v>
      </c>
      <c r="F361" s="357">
        <v>0.18079999999999999</v>
      </c>
      <c r="G361" s="91">
        <v>2.5</v>
      </c>
      <c r="H361" s="305">
        <f>I361+J361+K361+L361</f>
        <v>10700</v>
      </c>
      <c r="I361" s="379">
        <v>0</v>
      </c>
      <c r="J361" s="94">
        <v>2000</v>
      </c>
      <c r="K361" s="94">
        <v>8700</v>
      </c>
      <c r="L361" s="94"/>
      <c r="M361" s="94">
        <f t="shared" si="139"/>
        <v>10700</v>
      </c>
      <c r="N361" s="97" t="s">
        <v>28</v>
      </c>
      <c r="O361" s="97" t="s">
        <v>57</v>
      </c>
      <c r="P361" s="97" t="s">
        <v>55</v>
      </c>
      <c r="Q361" s="97"/>
      <c r="R361" s="501"/>
    </row>
    <row r="362" spans="1:18" ht="15.75" customHeight="1" x14ac:dyDescent="0.2">
      <c r="A362" s="464"/>
      <c r="B362" s="512"/>
      <c r="C362" s="350" t="s">
        <v>191</v>
      </c>
      <c r="D362" s="346"/>
      <c r="E362" s="355"/>
      <c r="F362" s="357"/>
      <c r="G362" s="91"/>
      <c r="H362" s="305">
        <f>I362+J362+K362+L362</f>
        <v>1000</v>
      </c>
      <c r="I362" s="379">
        <v>0</v>
      </c>
      <c r="J362" s="94"/>
      <c r="K362" s="94">
        <v>1000</v>
      </c>
      <c r="L362" s="94"/>
      <c r="M362" s="94">
        <f t="shared" si="139"/>
        <v>1000</v>
      </c>
      <c r="N362" s="97"/>
      <c r="O362" s="97"/>
      <c r="P362" s="97"/>
      <c r="Q362" s="97" t="s">
        <v>47</v>
      </c>
      <c r="R362" s="501"/>
    </row>
    <row r="363" spans="1:18" ht="15.75" customHeight="1" x14ac:dyDescent="0.2">
      <c r="A363" s="464"/>
      <c r="B363" s="512"/>
      <c r="C363" s="350">
        <v>2025</v>
      </c>
      <c r="D363" s="346"/>
      <c r="E363" s="346"/>
      <c r="F363" s="345"/>
      <c r="G363" s="91"/>
      <c r="H363" s="305">
        <f>I363+J363+K363+L363</f>
        <v>0</v>
      </c>
      <c r="I363" s="379">
        <v>0</v>
      </c>
      <c r="J363" s="94"/>
      <c r="K363" s="94"/>
      <c r="L363" s="94"/>
      <c r="M363" s="94">
        <f t="shared" si="139"/>
        <v>0</v>
      </c>
      <c r="N363" s="97"/>
      <c r="O363" s="97"/>
      <c r="P363" s="97"/>
      <c r="Q363" s="97"/>
      <c r="R363" s="501"/>
    </row>
    <row r="364" spans="1:18" ht="15.75" customHeight="1" x14ac:dyDescent="0.2">
      <c r="A364" s="464"/>
      <c r="B364" s="512"/>
      <c r="C364" s="350" t="s">
        <v>26</v>
      </c>
      <c r="D364" s="345">
        <f t="shared" ref="D364:L364" si="141">SUM(D359:D363)</f>
        <v>55</v>
      </c>
      <c r="E364" s="357">
        <f t="shared" si="141"/>
        <v>77.124000000000009</v>
      </c>
      <c r="F364" s="357">
        <f t="shared" si="141"/>
        <v>0.18079999999999999</v>
      </c>
      <c r="G364" s="91">
        <f t="shared" si="141"/>
        <v>2.5</v>
      </c>
      <c r="H364" s="395">
        <f t="shared" si="141"/>
        <v>11700</v>
      </c>
      <c r="I364" s="395">
        <f t="shared" si="141"/>
        <v>0</v>
      </c>
      <c r="J364" s="354">
        <f t="shared" si="141"/>
        <v>2000</v>
      </c>
      <c r="K364" s="354">
        <f t="shared" si="141"/>
        <v>9700</v>
      </c>
      <c r="L364" s="354">
        <f t="shared" si="141"/>
        <v>0</v>
      </c>
      <c r="M364" s="94">
        <f t="shared" si="139"/>
        <v>11700</v>
      </c>
      <c r="N364" s="97"/>
      <c r="O364" s="97"/>
      <c r="P364" s="97"/>
      <c r="Q364" s="97"/>
      <c r="R364" s="501"/>
    </row>
    <row r="365" spans="1:18" ht="15.75" customHeight="1" x14ac:dyDescent="0.2">
      <c r="A365" s="502" t="s">
        <v>29</v>
      </c>
      <c r="B365" s="502"/>
      <c r="C365" s="350">
        <v>2021</v>
      </c>
      <c r="D365" s="90">
        <f>D353+D359</f>
        <v>2206</v>
      </c>
      <c r="E365" s="90">
        <f t="shared" ref="E365:L367" si="142">E353+E359</f>
        <v>2509.59</v>
      </c>
      <c r="F365" s="90">
        <f t="shared" si="142"/>
        <v>6.3</v>
      </c>
      <c r="G365" s="90">
        <f t="shared" si="142"/>
        <v>4.6399999999999997</v>
      </c>
      <c r="H365" s="90">
        <f t="shared" si="142"/>
        <v>55480.639999999999</v>
      </c>
      <c r="I365" s="90">
        <f t="shared" si="142"/>
        <v>2092.1640000000002</v>
      </c>
      <c r="J365" s="90">
        <f t="shared" si="142"/>
        <v>2500</v>
      </c>
      <c r="K365" s="90">
        <f t="shared" si="142"/>
        <v>50888.476000000002</v>
      </c>
      <c r="L365" s="90">
        <f t="shared" si="142"/>
        <v>0</v>
      </c>
      <c r="M365" s="94">
        <f t="shared" si="139"/>
        <v>53388.476000000002</v>
      </c>
      <c r="N365" s="97"/>
      <c r="O365" s="97"/>
      <c r="P365" s="97"/>
      <c r="Q365" s="97"/>
      <c r="R365" s="466"/>
    </row>
    <row r="366" spans="1:18" ht="15.75" customHeight="1" x14ac:dyDescent="0.2">
      <c r="A366" s="502"/>
      <c r="B366" s="502"/>
      <c r="C366" s="350">
        <v>2022</v>
      </c>
      <c r="D366" s="90">
        <f>D354+D360</f>
        <v>0</v>
      </c>
      <c r="E366" s="90">
        <f t="shared" si="142"/>
        <v>0</v>
      </c>
      <c r="F366" s="90">
        <f t="shared" si="142"/>
        <v>0</v>
      </c>
      <c r="G366" s="90">
        <f t="shared" si="142"/>
        <v>0</v>
      </c>
      <c r="H366" s="90">
        <f t="shared" si="142"/>
        <v>0</v>
      </c>
      <c r="I366" s="90">
        <f t="shared" si="142"/>
        <v>0</v>
      </c>
      <c r="J366" s="90">
        <f t="shared" si="142"/>
        <v>0</v>
      </c>
      <c r="K366" s="90">
        <f t="shared" si="142"/>
        <v>0</v>
      </c>
      <c r="L366" s="90">
        <f t="shared" si="142"/>
        <v>0</v>
      </c>
      <c r="M366" s="94">
        <f t="shared" si="139"/>
        <v>0</v>
      </c>
      <c r="N366" s="97"/>
      <c r="O366" s="97"/>
      <c r="P366" s="97"/>
      <c r="Q366" s="97"/>
      <c r="R366" s="466"/>
    </row>
    <row r="367" spans="1:18" ht="15.75" customHeight="1" x14ac:dyDescent="0.2">
      <c r="A367" s="502"/>
      <c r="B367" s="502"/>
      <c r="C367" s="350" t="s">
        <v>39</v>
      </c>
      <c r="D367" s="90">
        <f>D355+D361</f>
        <v>55</v>
      </c>
      <c r="E367" s="90">
        <f t="shared" si="142"/>
        <v>77.124000000000009</v>
      </c>
      <c r="F367" s="90">
        <f t="shared" si="142"/>
        <v>0.18079999999999999</v>
      </c>
      <c r="G367" s="90">
        <f t="shared" si="142"/>
        <v>2.5</v>
      </c>
      <c r="H367" s="90">
        <f t="shared" si="142"/>
        <v>10700</v>
      </c>
      <c r="I367" s="90">
        <f t="shared" si="142"/>
        <v>0</v>
      </c>
      <c r="J367" s="90">
        <f t="shared" si="142"/>
        <v>2000</v>
      </c>
      <c r="K367" s="90">
        <f t="shared" si="142"/>
        <v>8700</v>
      </c>
      <c r="L367" s="90">
        <f t="shared" si="142"/>
        <v>0</v>
      </c>
      <c r="M367" s="94">
        <f t="shared" si="139"/>
        <v>10700</v>
      </c>
      <c r="N367" s="97"/>
      <c r="O367" s="97"/>
      <c r="P367" s="97"/>
      <c r="Q367" s="97"/>
      <c r="R367" s="466"/>
    </row>
    <row r="368" spans="1:18" ht="15.75" customHeight="1" x14ac:dyDescent="0.2">
      <c r="A368" s="502"/>
      <c r="B368" s="502"/>
      <c r="C368" s="350" t="s">
        <v>191</v>
      </c>
      <c r="D368" s="90">
        <f t="shared" ref="D368:L369" si="143">D356+D362</f>
        <v>0</v>
      </c>
      <c r="E368" s="90">
        <f t="shared" si="143"/>
        <v>0</v>
      </c>
      <c r="F368" s="90">
        <f t="shared" si="143"/>
        <v>0</v>
      </c>
      <c r="G368" s="90">
        <f t="shared" si="143"/>
        <v>0</v>
      </c>
      <c r="H368" s="90">
        <f t="shared" si="143"/>
        <v>1000</v>
      </c>
      <c r="I368" s="90">
        <f t="shared" si="143"/>
        <v>0</v>
      </c>
      <c r="J368" s="90">
        <f t="shared" si="143"/>
        <v>0</v>
      </c>
      <c r="K368" s="90">
        <f t="shared" si="143"/>
        <v>1000</v>
      </c>
      <c r="L368" s="90">
        <f t="shared" si="143"/>
        <v>0</v>
      </c>
      <c r="M368" s="94">
        <f t="shared" si="139"/>
        <v>1000</v>
      </c>
      <c r="N368" s="97"/>
      <c r="O368" s="97"/>
      <c r="P368" s="97"/>
      <c r="Q368" s="97"/>
      <c r="R368" s="466"/>
    </row>
    <row r="369" spans="1:18" ht="15.75" customHeight="1" x14ac:dyDescent="0.2">
      <c r="A369" s="502"/>
      <c r="B369" s="502"/>
      <c r="C369" s="350">
        <v>2025</v>
      </c>
      <c r="D369" s="90">
        <f t="shared" si="143"/>
        <v>0</v>
      </c>
      <c r="E369" s="90">
        <f t="shared" si="143"/>
        <v>0</v>
      </c>
      <c r="F369" s="90">
        <f t="shared" si="143"/>
        <v>0</v>
      </c>
      <c r="G369" s="90">
        <f t="shared" si="143"/>
        <v>0</v>
      </c>
      <c r="H369" s="90">
        <f t="shared" si="143"/>
        <v>0</v>
      </c>
      <c r="I369" s="90">
        <f t="shared" si="143"/>
        <v>0</v>
      </c>
      <c r="J369" s="90">
        <f t="shared" si="143"/>
        <v>0</v>
      </c>
      <c r="K369" s="90">
        <f t="shared" si="143"/>
        <v>0</v>
      </c>
      <c r="L369" s="90">
        <f t="shared" si="143"/>
        <v>0</v>
      </c>
      <c r="M369" s="94">
        <f t="shared" si="139"/>
        <v>0</v>
      </c>
      <c r="N369" s="97"/>
      <c r="O369" s="97"/>
      <c r="P369" s="97"/>
      <c r="Q369" s="97"/>
      <c r="R369" s="466"/>
    </row>
    <row r="370" spans="1:18" ht="17.25" customHeight="1" x14ac:dyDescent="0.2">
      <c r="A370" s="502"/>
      <c r="B370" s="502"/>
      <c r="C370" s="350" t="s">
        <v>12</v>
      </c>
      <c r="D370" s="376">
        <f>SUM(D365:D369)</f>
        <v>2261</v>
      </c>
      <c r="E370" s="376">
        <f t="shared" ref="E370:L370" si="144">SUM(E365:E369)</f>
        <v>2586.7139999999999</v>
      </c>
      <c r="F370" s="376">
        <f t="shared" si="144"/>
        <v>6.4807999999999995</v>
      </c>
      <c r="G370" s="376">
        <f t="shared" si="144"/>
        <v>7.14</v>
      </c>
      <c r="H370" s="376">
        <f t="shared" si="144"/>
        <v>67180.639999999999</v>
      </c>
      <c r="I370" s="376">
        <f t="shared" si="144"/>
        <v>2092.1640000000002</v>
      </c>
      <c r="J370" s="376">
        <f t="shared" si="144"/>
        <v>4500</v>
      </c>
      <c r="K370" s="376">
        <f t="shared" si="144"/>
        <v>60588.476000000002</v>
      </c>
      <c r="L370" s="376">
        <f t="shared" si="144"/>
        <v>0</v>
      </c>
      <c r="M370" s="94">
        <f t="shared" si="139"/>
        <v>65088.476000000002</v>
      </c>
      <c r="N370" s="97"/>
      <c r="O370" s="97"/>
      <c r="P370" s="97"/>
      <c r="Q370" s="97"/>
      <c r="R370" s="466"/>
    </row>
    <row r="371" spans="1:18" ht="14.25" customHeight="1" x14ac:dyDescent="0.2">
      <c r="A371" s="513" t="s">
        <v>195</v>
      </c>
      <c r="B371" s="514"/>
      <c r="C371" s="350"/>
      <c r="D371" s="376"/>
      <c r="E371" s="376"/>
      <c r="F371" s="376"/>
      <c r="G371" s="376"/>
      <c r="H371" s="391"/>
      <c r="I371" s="376"/>
      <c r="J371" s="298"/>
      <c r="K371" s="298"/>
      <c r="L371" s="298"/>
      <c r="M371" s="94"/>
      <c r="N371" s="97"/>
      <c r="O371" s="97"/>
      <c r="P371" s="97"/>
      <c r="Q371" s="97"/>
      <c r="R371" s="299"/>
    </row>
    <row r="372" spans="1:18" ht="14.25" customHeight="1" x14ac:dyDescent="0.2">
      <c r="A372" s="464">
        <v>41</v>
      </c>
      <c r="B372" s="488" t="s">
        <v>214</v>
      </c>
      <c r="C372" s="350">
        <v>2021</v>
      </c>
      <c r="D372" s="376">
        <v>93</v>
      </c>
      <c r="E372" s="376">
        <v>115.3</v>
      </c>
      <c r="F372" s="376">
        <v>0.21</v>
      </c>
      <c r="G372" s="376">
        <v>5</v>
      </c>
      <c r="H372" s="391">
        <f>J372+K372+I372</f>
        <v>4000</v>
      </c>
      <c r="I372" s="376">
        <v>0</v>
      </c>
      <c r="J372" s="298">
        <v>4000</v>
      </c>
      <c r="K372" s="298"/>
      <c r="L372" s="298"/>
      <c r="M372" s="94">
        <f>J372+K372+L372</f>
        <v>4000</v>
      </c>
      <c r="N372" s="359" t="s">
        <v>52</v>
      </c>
      <c r="O372" s="97" t="s">
        <v>31</v>
      </c>
      <c r="P372" s="97"/>
      <c r="Q372" s="97"/>
      <c r="R372" s="515"/>
    </row>
    <row r="373" spans="1:18" ht="14.25" customHeight="1" x14ac:dyDescent="0.2">
      <c r="A373" s="464"/>
      <c r="B373" s="489"/>
      <c r="C373" s="350">
        <v>2022</v>
      </c>
      <c r="D373" s="376"/>
      <c r="E373" s="376"/>
      <c r="F373" s="376"/>
      <c r="G373" s="376"/>
      <c r="H373" s="391">
        <f t="shared" ref="H373:H376" si="145">J373+K373+I373</f>
        <v>15000</v>
      </c>
      <c r="I373" s="376"/>
      <c r="J373" s="298"/>
      <c r="K373" s="298">
        <v>15000</v>
      </c>
      <c r="L373" s="298"/>
      <c r="M373" s="94">
        <f>J373+K373+L373</f>
        <v>15000</v>
      </c>
      <c r="N373" s="97"/>
      <c r="O373" s="97"/>
      <c r="P373" s="97" t="s">
        <v>28</v>
      </c>
      <c r="Q373" s="97" t="s">
        <v>31</v>
      </c>
      <c r="R373" s="516"/>
    </row>
    <row r="374" spans="1:18" ht="14.25" customHeight="1" x14ac:dyDescent="0.2">
      <c r="A374" s="464"/>
      <c r="B374" s="489"/>
      <c r="C374" s="350" t="s">
        <v>39</v>
      </c>
      <c r="D374" s="376"/>
      <c r="E374" s="376"/>
      <c r="F374" s="376"/>
      <c r="G374" s="376"/>
      <c r="H374" s="391">
        <f t="shared" si="145"/>
        <v>0</v>
      </c>
      <c r="I374" s="376"/>
      <c r="J374" s="298"/>
      <c r="K374" s="298"/>
      <c r="L374" s="298"/>
      <c r="M374" s="94">
        <f t="shared" ref="M374:M383" si="146">J374+K374+L374</f>
        <v>0</v>
      </c>
      <c r="N374" s="97"/>
      <c r="O374" s="97"/>
      <c r="P374" s="97"/>
      <c r="Q374" s="97"/>
      <c r="R374" s="516"/>
    </row>
    <row r="375" spans="1:18" ht="14.25" customHeight="1" x14ac:dyDescent="0.2">
      <c r="A375" s="464"/>
      <c r="B375" s="489"/>
      <c r="C375" s="350" t="s">
        <v>191</v>
      </c>
      <c r="D375" s="376"/>
      <c r="E375" s="376"/>
      <c r="F375" s="376"/>
      <c r="G375" s="376"/>
      <c r="H375" s="391">
        <f t="shared" si="145"/>
        <v>0</v>
      </c>
      <c r="I375" s="376"/>
      <c r="J375" s="298"/>
      <c r="K375" s="298"/>
      <c r="L375" s="298"/>
      <c r="M375" s="94">
        <f t="shared" si="146"/>
        <v>0</v>
      </c>
      <c r="N375" s="97"/>
      <c r="O375" s="97"/>
      <c r="P375" s="97"/>
      <c r="Q375" s="97"/>
      <c r="R375" s="516"/>
    </row>
    <row r="376" spans="1:18" ht="14.25" customHeight="1" x14ac:dyDescent="0.2">
      <c r="A376" s="464"/>
      <c r="B376" s="489"/>
      <c r="C376" s="350">
        <v>2025</v>
      </c>
      <c r="D376" s="376"/>
      <c r="E376" s="376"/>
      <c r="F376" s="376"/>
      <c r="G376" s="376"/>
      <c r="H376" s="391">
        <f t="shared" si="145"/>
        <v>0</v>
      </c>
      <c r="I376" s="376"/>
      <c r="J376" s="298"/>
      <c r="K376" s="298"/>
      <c r="L376" s="298"/>
      <c r="M376" s="94">
        <f t="shared" si="146"/>
        <v>0</v>
      </c>
      <c r="N376" s="97"/>
      <c r="O376" s="97"/>
      <c r="P376" s="97"/>
      <c r="Q376" s="97"/>
      <c r="R376" s="516"/>
    </row>
    <row r="377" spans="1:18" ht="14.25" customHeight="1" x14ac:dyDescent="0.2">
      <c r="A377" s="464"/>
      <c r="B377" s="490"/>
      <c r="C377" s="350" t="s">
        <v>26</v>
      </c>
      <c r="D377" s="376">
        <f>SUM(D372:D376)</f>
        <v>93</v>
      </c>
      <c r="E377" s="376">
        <f t="shared" ref="E377:I377" si="147">SUM(E372:E376)</f>
        <v>115.3</v>
      </c>
      <c r="F377" s="376">
        <f t="shared" si="147"/>
        <v>0.21</v>
      </c>
      <c r="G377" s="376">
        <f t="shared" si="147"/>
        <v>5</v>
      </c>
      <c r="H377" s="376">
        <f t="shared" si="147"/>
        <v>19000</v>
      </c>
      <c r="I377" s="376">
        <f t="shared" si="147"/>
        <v>0</v>
      </c>
      <c r="J377" s="376">
        <f>SUM(J372:J376)</f>
        <v>4000</v>
      </c>
      <c r="K377" s="376">
        <f>SUM(K372:K376)</f>
        <v>15000</v>
      </c>
      <c r="L377" s="376">
        <f t="shared" ref="L377" si="148">SUM(L372:L376)</f>
        <v>0</v>
      </c>
      <c r="M377" s="94">
        <f t="shared" si="146"/>
        <v>19000</v>
      </c>
      <c r="N377" s="97"/>
      <c r="O377" s="374"/>
      <c r="P377" s="97"/>
      <c r="Q377" s="97"/>
      <c r="R377" s="517"/>
    </row>
    <row r="378" spans="1:18" ht="14.25" customHeight="1" x14ac:dyDescent="0.2">
      <c r="A378" s="502" t="s">
        <v>29</v>
      </c>
      <c r="B378" s="502"/>
      <c r="C378" s="350">
        <v>2021</v>
      </c>
      <c r="D378" s="90">
        <f>D372</f>
        <v>93</v>
      </c>
      <c r="E378" s="90">
        <f t="shared" ref="E378:L378" si="149">E372</f>
        <v>115.3</v>
      </c>
      <c r="F378" s="90">
        <f t="shared" si="149"/>
        <v>0.21</v>
      </c>
      <c r="G378" s="90">
        <f t="shared" si="149"/>
        <v>5</v>
      </c>
      <c r="H378" s="90">
        <f t="shared" si="149"/>
        <v>4000</v>
      </c>
      <c r="I378" s="90">
        <f t="shared" si="149"/>
        <v>0</v>
      </c>
      <c r="J378" s="90">
        <f t="shared" si="149"/>
        <v>4000</v>
      </c>
      <c r="K378" s="90">
        <f t="shared" si="149"/>
        <v>0</v>
      </c>
      <c r="L378" s="90">
        <f t="shared" si="149"/>
        <v>0</v>
      </c>
      <c r="M378" s="94">
        <f t="shared" si="146"/>
        <v>4000</v>
      </c>
      <c r="N378" s="97"/>
      <c r="O378" s="97"/>
      <c r="P378" s="97"/>
      <c r="Q378" s="97"/>
      <c r="R378" s="466"/>
    </row>
    <row r="379" spans="1:18" ht="14.25" customHeight="1" x14ac:dyDescent="0.2">
      <c r="A379" s="502"/>
      <c r="B379" s="502"/>
      <c r="C379" s="350">
        <v>2022</v>
      </c>
      <c r="D379" s="90">
        <f t="shared" ref="D379:L379" si="150">D373</f>
        <v>0</v>
      </c>
      <c r="E379" s="90">
        <f t="shared" si="150"/>
        <v>0</v>
      </c>
      <c r="F379" s="90">
        <f t="shared" si="150"/>
        <v>0</v>
      </c>
      <c r="G379" s="90">
        <f t="shared" si="150"/>
        <v>0</v>
      </c>
      <c r="H379" s="90">
        <f t="shared" si="150"/>
        <v>15000</v>
      </c>
      <c r="I379" s="90">
        <f t="shared" si="150"/>
        <v>0</v>
      </c>
      <c r="J379" s="90">
        <f t="shared" si="150"/>
        <v>0</v>
      </c>
      <c r="K379" s="90">
        <f t="shared" si="150"/>
        <v>15000</v>
      </c>
      <c r="L379" s="90">
        <f t="shared" si="150"/>
        <v>0</v>
      </c>
      <c r="M379" s="94">
        <f t="shared" si="146"/>
        <v>15000</v>
      </c>
      <c r="N379" s="97"/>
      <c r="O379" s="97"/>
      <c r="P379" s="97"/>
      <c r="Q379" s="97"/>
      <c r="R379" s="466"/>
    </row>
    <row r="380" spans="1:18" ht="14.25" customHeight="1" x14ac:dyDescent="0.2">
      <c r="A380" s="502"/>
      <c r="B380" s="502"/>
      <c r="C380" s="350" t="s">
        <v>39</v>
      </c>
      <c r="D380" s="90">
        <f t="shared" ref="D380:L380" si="151">D374</f>
        <v>0</v>
      </c>
      <c r="E380" s="90">
        <f t="shared" si="151"/>
        <v>0</v>
      </c>
      <c r="F380" s="90">
        <f t="shared" si="151"/>
        <v>0</v>
      </c>
      <c r="G380" s="90">
        <f t="shared" si="151"/>
        <v>0</v>
      </c>
      <c r="H380" s="90">
        <f t="shared" si="151"/>
        <v>0</v>
      </c>
      <c r="I380" s="90">
        <f t="shared" si="151"/>
        <v>0</v>
      </c>
      <c r="J380" s="90">
        <f t="shared" si="151"/>
        <v>0</v>
      </c>
      <c r="K380" s="90">
        <f t="shared" si="151"/>
        <v>0</v>
      </c>
      <c r="L380" s="90">
        <f t="shared" si="151"/>
        <v>0</v>
      </c>
      <c r="M380" s="94">
        <f t="shared" si="146"/>
        <v>0</v>
      </c>
      <c r="N380" s="97"/>
      <c r="O380" s="97"/>
      <c r="P380" s="97"/>
      <c r="Q380" s="97"/>
      <c r="R380" s="466"/>
    </row>
    <row r="381" spans="1:18" ht="14.25" customHeight="1" x14ac:dyDescent="0.2">
      <c r="A381" s="502"/>
      <c r="B381" s="502"/>
      <c r="C381" s="350" t="s">
        <v>191</v>
      </c>
      <c r="D381" s="90">
        <f t="shared" ref="D381:L381" si="152">D375</f>
        <v>0</v>
      </c>
      <c r="E381" s="90">
        <f t="shared" si="152"/>
        <v>0</v>
      </c>
      <c r="F381" s="90">
        <f t="shared" si="152"/>
        <v>0</v>
      </c>
      <c r="G381" s="90">
        <f t="shared" si="152"/>
        <v>0</v>
      </c>
      <c r="H381" s="90">
        <f t="shared" si="152"/>
        <v>0</v>
      </c>
      <c r="I381" s="90">
        <f t="shared" si="152"/>
        <v>0</v>
      </c>
      <c r="J381" s="90">
        <f t="shared" si="152"/>
        <v>0</v>
      </c>
      <c r="K381" s="90">
        <f t="shared" si="152"/>
        <v>0</v>
      </c>
      <c r="L381" s="90">
        <f t="shared" si="152"/>
        <v>0</v>
      </c>
      <c r="M381" s="94">
        <f t="shared" si="146"/>
        <v>0</v>
      </c>
      <c r="N381" s="97"/>
      <c r="O381" s="97"/>
      <c r="P381" s="97"/>
      <c r="Q381" s="97"/>
      <c r="R381" s="466"/>
    </row>
    <row r="382" spans="1:18" ht="14.25" customHeight="1" x14ac:dyDescent="0.2">
      <c r="A382" s="502"/>
      <c r="B382" s="502"/>
      <c r="C382" s="350">
        <v>2025</v>
      </c>
      <c r="D382" s="90">
        <f t="shared" ref="D382:L382" si="153">D376</f>
        <v>0</v>
      </c>
      <c r="E382" s="90">
        <f t="shared" si="153"/>
        <v>0</v>
      </c>
      <c r="F382" s="90">
        <f t="shared" si="153"/>
        <v>0</v>
      </c>
      <c r="G382" s="90">
        <f t="shared" si="153"/>
        <v>0</v>
      </c>
      <c r="H382" s="90">
        <f t="shared" si="153"/>
        <v>0</v>
      </c>
      <c r="I382" s="90">
        <f t="shared" si="153"/>
        <v>0</v>
      </c>
      <c r="J382" s="90">
        <f t="shared" si="153"/>
        <v>0</v>
      </c>
      <c r="K382" s="90">
        <f t="shared" si="153"/>
        <v>0</v>
      </c>
      <c r="L382" s="90">
        <f t="shared" si="153"/>
        <v>0</v>
      </c>
      <c r="M382" s="94">
        <f t="shared" si="146"/>
        <v>0</v>
      </c>
      <c r="N382" s="97"/>
      <c r="O382" s="97"/>
      <c r="P382" s="97"/>
      <c r="Q382" s="97"/>
      <c r="R382" s="466"/>
    </row>
    <row r="383" spans="1:18" ht="17.25" customHeight="1" x14ac:dyDescent="0.2">
      <c r="A383" s="502"/>
      <c r="B383" s="502"/>
      <c r="C383" s="350" t="s">
        <v>12</v>
      </c>
      <c r="D383" s="376">
        <f>SUM(D378:D382)</f>
        <v>93</v>
      </c>
      <c r="E383" s="376">
        <f t="shared" ref="E383:L383" si="154">SUM(E378:E382)</f>
        <v>115.3</v>
      </c>
      <c r="F383" s="376">
        <f t="shared" si="154"/>
        <v>0.21</v>
      </c>
      <c r="G383" s="376">
        <f t="shared" si="154"/>
        <v>5</v>
      </c>
      <c r="H383" s="376">
        <f t="shared" si="154"/>
        <v>19000</v>
      </c>
      <c r="I383" s="376">
        <f t="shared" si="154"/>
        <v>0</v>
      </c>
      <c r="J383" s="376">
        <f t="shared" si="154"/>
        <v>4000</v>
      </c>
      <c r="K383" s="376">
        <f t="shared" si="154"/>
        <v>15000</v>
      </c>
      <c r="L383" s="376">
        <f t="shared" si="154"/>
        <v>0</v>
      </c>
      <c r="M383" s="94">
        <f t="shared" si="146"/>
        <v>19000</v>
      </c>
      <c r="N383" s="97"/>
      <c r="O383" s="97"/>
      <c r="P383" s="97"/>
      <c r="Q383" s="97"/>
      <c r="R383" s="466"/>
    </row>
    <row r="384" spans="1:18" x14ac:dyDescent="0.2">
      <c r="A384" s="473" t="s">
        <v>10</v>
      </c>
      <c r="B384" s="474"/>
      <c r="C384" s="7"/>
      <c r="D384" s="10"/>
      <c r="E384" s="346"/>
      <c r="F384" s="10"/>
      <c r="G384" s="10"/>
      <c r="H384" s="8"/>
      <c r="I384" s="7"/>
      <c r="J384" s="17"/>
      <c r="K384" s="17"/>
      <c r="L384" s="17"/>
      <c r="M384" s="17"/>
      <c r="N384" s="7"/>
      <c r="O384" s="7"/>
      <c r="P384" s="7"/>
      <c r="Q384" s="7"/>
    </row>
    <row r="385" spans="1:18" ht="14.25" customHeight="1" x14ac:dyDescent="0.2">
      <c r="A385" s="464">
        <v>42</v>
      </c>
      <c r="B385" s="465" t="s">
        <v>196</v>
      </c>
      <c r="C385" s="350">
        <v>2021</v>
      </c>
      <c r="D385" s="346">
        <v>250</v>
      </c>
      <c r="E385" s="346">
        <v>1294</v>
      </c>
      <c r="F385" s="345">
        <v>3.2</v>
      </c>
      <c r="G385" s="91">
        <v>10.5</v>
      </c>
      <c r="H385" s="308">
        <f>I385+J385+K385+L385</f>
        <v>3000</v>
      </c>
      <c r="I385" s="386"/>
      <c r="J385" s="94">
        <v>3000</v>
      </c>
      <c r="K385" s="94"/>
      <c r="L385" s="94"/>
      <c r="M385" s="94">
        <f>J385+K385+L385</f>
        <v>3000</v>
      </c>
      <c r="N385" s="359" t="s">
        <v>47</v>
      </c>
      <c r="O385" s="359"/>
      <c r="P385" s="359"/>
      <c r="Q385" s="359"/>
      <c r="R385" s="466"/>
    </row>
    <row r="386" spans="1:18" ht="15" customHeight="1" x14ac:dyDescent="0.2">
      <c r="A386" s="464"/>
      <c r="B386" s="465"/>
      <c r="C386" s="350">
        <v>2022</v>
      </c>
      <c r="D386" s="345"/>
      <c r="E386" s="345"/>
      <c r="F386" s="345"/>
      <c r="G386" s="91"/>
      <c r="H386" s="308">
        <f>I386+J386+K386+L386</f>
        <v>50468.44</v>
      </c>
      <c r="I386" s="386"/>
      <c r="J386" s="94">
        <v>3000</v>
      </c>
      <c r="K386" s="94">
        <f>45000-513.34-18.22+3000</f>
        <v>47468.44</v>
      </c>
      <c r="L386" s="94"/>
      <c r="M386" s="94">
        <f>J386+K386+L386</f>
        <v>50468.44</v>
      </c>
      <c r="N386" s="97"/>
      <c r="O386" s="97" t="s">
        <v>51</v>
      </c>
      <c r="P386" s="97" t="s">
        <v>53</v>
      </c>
      <c r="Q386" s="97"/>
      <c r="R386" s="466"/>
    </row>
    <row r="387" spans="1:18" ht="14.25" customHeight="1" x14ac:dyDescent="0.2">
      <c r="A387" s="464"/>
      <c r="B387" s="465"/>
      <c r="C387" s="350" t="s">
        <v>39</v>
      </c>
      <c r="D387" s="345"/>
      <c r="E387" s="345"/>
      <c r="F387" s="345"/>
      <c r="G387" s="91"/>
      <c r="H387" s="308">
        <f>I387+J387+K387+L387</f>
        <v>9000</v>
      </c>
      <c r="I387" s="386"/>
      <c r="J387" s="94"/>
      <c r="K387" s="94">
        <v>9000</v>
      </c>
      <c r="L387" s="94"/>
      <c r="M387" s="94">
        <f>J387+K387+L387</f>
        <v>9000</v>
      </c>
      <c r="N387" s="97"/>
      <c r="O387" s="97"/>
      <c r="P387" s="97"/>
      <c r="Q387" s="97" t="s">
        <v>54</v>
      </c>
      <c r="R387" s="466"/>
    </row>
    <row r="388" spans="1:18" ht="14.25" customHeight="1" x14ac:dyDescent="0.2">
      <c r="A388" s="464"/>
      <c r="B388" s="465"/>
      <c r="C388" s="350" t="s">
        <v>191</v>
      </c>
      <c r="D388" s="345"/>
      <c r="E388" s="345"/>
      <c r="F388" s="345"/>
      <c r="G388" s="91"/>
      <c r="H388" s="308">
        <f>I388+J388+K388+L388</f>
        <v>0</v>
      </c>
      <c r="I388" s="386"/>
      <c r="J388" s="94"/>
      <c r="K388" s="94"/>
      <c r="L388" s="94"/>
      <c r="M388" s="94">
        <f>J388+K388+L388</f>
        <v>0</v>
      </c>
      <c r="N388" s="97"/>
      <c r="O388" s="97"/>
      <c r="P388" s="97"/>
      <c r="Q388" s="97"/>
      <c r="R388" s="466"/>
    </row>
    <row r="389" spans="1:18" ht="14.25" customHeight="1" x14ac:dyDescent="0.2">
      <c r="A389" s="464"/>
      <c r="B389" s="465"/>
      <c r="C389" s="350">
        <v>2025</v>
      </c>
      <c r="D389" s="345"/>
      <c r="E389" s="345"/>
      <c r="F389" s="345"/>
      <c r="G389" s="91"/>
      <c r="H389" s="308">
        <f>I389+J389+K389+L389</f>
        <v>0</v>
      </c>
      <c r="I389" s="386"/>
      <c r="J389" s="94"/>
      <c r="K389" s="94"/>
      <c r="L389" s="94"/>
      <c r="M389" s="94">
        <f>J389+K389+L389</f>
        <v>0</v>
      </c>
      <c r="N389" s="97"/>
      <c r="O389" s="97"/>
      <c r="P389" s="97"/>
      <c r="Q389" s="97"/>
      <c r="R389" s="466"/>
    </row>
    <row r="390" spans="1:18" ht="14.25" customHeight="1" x14ac:dyDescent="0.2">
      <c r="A390" s="464"/>
      <c r="B390" s="465"/>
      <c r="C390" s="350" t="s">
        <v>26</v>
      </c>
      <c r="D390" s="345">
        <f t="shared" ref="D390:L390" si="155">SUM(D385:D389)</f>
        <v>250</v>
      </c>
      <c r="E390" s="345">
        <f t="shared" si="155"/>
        <v>1294</v>
      </c>
      <c r="F390" s="345">
        <f t="shared" si="155"/>
        <v>3.2</v>
      </c>
      <c r="G390" s="345">
        <f t="shared" si="155"/>
        <v>10.5</v>
      </c>
      <c r="H390" s="308">
        <f t="shared" si="155"/>
        <v>62468.44</v>
      </c>
      <c r="I390" s="352">
        <f t="shared" si="155"/>
        <v>0</v>
      </c>
      <c r="J390" s="94">
        <f>SUM(J385:J389)</f>
        <v>6000</v>
      </c>
      <c r="K390" s="94">
        <f>SUM(K385:K389)</f>
        <v>56468.44</v>
      </c>
      <c r="L390" s="94">
        <f t="shared" si="155"/>
        <v>0</v>
      </c>
      <c r="M390" s="94">
        <f t="shared" ref="M390:M395" si="156">J390+K390+L390</f>
        <v>62468.44</v>
      </c>
      <c r="N390" s="97"/>
      <c r="O390" s="97"/>
      <c r="P390" s="97"/>
      <c r="Q390" s="97"/>
      <c r="R390" s="466"/>
    </row>
    <row r="391" spans="1:18" ht="14.25" customHeight="1" x14ac:dyDescent="0.2">
      <c r="A391" s="464">
        <v>43</v>
      </c>
      <c r="B391" s="512" t="s">
        <v>68</v>
      </c>
      <c r="C391" s="350">
        <v>2021</v>
      </c>
      <c r="D391" s="346">
        <v>500</v>
      </c>
      <c r="E391" s="355">
        <v>144</v>
      </c>
      <c r="F391" s="357">
        <v>0.92020000000000002</v>
      </c>
      <c r="G391" s="91">
        <v>33.11</v>
      </c>
      <c r="H391" s="396">
        <f>I391+J391+K391+L391</f>
        <v>88191.38</v>
      </c>
      <c r="I391" s="379">
        <v>8495.84</v>
      </c>
      <c r="J391" s="94">
        <f>12400-I391</f>
        <v>3904.16</v>
      </c>
      <c r="K391" s="94">
        <f>60000+15791.38</f>
        <v>75791.38</v>
      </c>
      <c r="L391" s="94"/>
      <c r="M391" s="94">
        <f t="shared" si="156"/>
        <v>79695.540000000008</v>
      </c>
      <c r="N391" s="359">
        <v>43831</v>
      </c>
      <c r="O391" s="97" t="s">
        <v>54</v>
      </c>
      <c r="P391" s="97" t="s">
        <v>49</v>
      </c>
      <c r="Q391" s="97"/>
      <c r="R391" s="501"/>
    </row>
    <row r="392" spans="1:18" ht="14.25" customHeight="1" x14ac:dyDescent="0.2">
      <c r="A392" s="464"/>
      <c r="B392" s="512"/>
      <c r="C392" s="350">
        <v>2022</v>
      </c>
      <c r="D392" s="346"/>
      <c r="E392" s="355"/>
      <c r="F392" s="357"/>
      <c r="G392" s="91"/>
      <c r="H392" s="396">
        <f>I392+J392+K392+L392</f>
        <v>8830.14</v>
      </c>
      <c r="I392" s="379"/>
      <c r="J392" s="94"/>
      <c r="K392" s="94">
        <f>97021.52-I391-J391-K391</f>
        <v>8830.14</v>
      </c>
      <c r="L392" s="94"/>
      <c r="M392" s="94">
        <f t="shared" si="156"/>
        <v>8830.14</v>
      </c>
      <c r="N392" s="97"/>
      <c r="O392" s="97" t="s">
        <v>194</v>
      </c>
      <c r="P392" s="97"/>
      <c r="Q392" s="97" t="s">
        <v>47</v>
      </c>
      <c r="R392" s="501"/>
    </row>
    <row r="393" spans="1:18" ht="14.25" customHeight="1" x14ac:dyDescent="0.2">
      <c r="A393" s="464"/>
      <c r="B393" s="512"/>
      <c r="C393" s="350" t="s">
        <v>39</v>
      </c>
      <c r="D393" s="346"/>
      <c r="E393" s="346"/>
      <c r="F393" s="345"/>
      <c r="G393" s="91"/>
      <c r="H393" s="396">
        <f>I393+J393+K393+L393</f>
        <v>0</v>
      </c>
      <c r="I393" s="379"/>
      <c r="J393" s="94"/>
      <c r="K393" s="94"/>
      <c r="L393" s="94"/>
      <c r="M393" s="94">
        <f t="shared" si="156"/>
        <v>0</v>
      </c>
      <c r="N393" s="97"/>
      <c r="O393" s="97"/>
      <c r="P393" s="97"/>
      <c r="Q393" s="97"/>
      <c r="R393" s="501"/>
    </row>
    <row r="394" spans="1:18" ht="14.25" customHeight="1" x14ac:dyDescent="0.2">
      <c r="A394" s="464"/>
      <c r="B394" s="512"/>
      <c r="C394" s="350" t="s">
        <v>191</v>
      </c>
      <c r="D394" s="346"/>
      <c r="E394" s="346"/>
      <c r="F394" s="345"/>
      <c r="G394" s="91"/>
      <c r="H394" s="396">
        <f>I394+J394+K394+L394</f>
        <v>0</v>
      </c>
      <c r="I394" s="379"/>
      <c r="J394" s="94"/>
      <c r="K394" s="94"/>
      <c r="L394" s="94"/>
      <c r="M394" s="94">
        <f t="shared" si="156"/>
        <v>0</v>
      </c>
      <c r="N394" s="97"/>
      <c r="O394" s="97"/>
      <c r="P394" s="97"/>
      <c r="Q394" s="97"/>
      <c r="R394" s="501"/>
    </row>
    <row r="395" spans="1:18" ht="14.25" customHeight="1" x14ac:dyDescent="0.2">
      <c r="A395" s="464"/>
      <c r="B395" s="512"/>
      <c r="C395" s="350">
        <v>2025</v>
      </c>
      <c r="D395" s="346"/>
      <c r="E395" s="346"/>
      <c r="F395" s="345"/>
      <c r="G395" s="91"/>
      <c r="H395" s="396">
        <f>I395+J395+K395+L395</f>
        <v>0</v>
      </c>
      <c r="I395" s="379"/>
      <c r="J395" s="94"/>
      <c r="K395" s="94"/>
      <c r="L395" s="94"/>
      <c r="M395" s="94">
        <f t="shared" si="156"/>
        <v>0</v>
      </c>
      <c r="N395" s="97"/>
      <c r="O395" s="97"/>
      <c r="P395" s="97"/>
      <c r="Q395" s="97"/>
      <c r="R395" s="501"/>
    </row>
    <row r="396" spans="1:18" x14ac:dyDescent="0.2">
      <c r="A396" s="464"/>
      <c r="B396" s="512"/>
      <c r="C396" s="350" t="s">
        <v>26</v>
      </c>
      <c r="D396" s="345">
        <f t="shared" ref="D396:M396" si="157">SUM(D391:D395)</f>
        <v>500</v>
      </c>
      <c r="E396" s="345">
        <f t="shared" si="157"/>
        <v>144</v>
      </c>
      <c r="F396" s="345">
        <f t="shared" si="157"/>
        <v>0.92020000000000002</v>
      </c>
      <c r="G396" s="91">
        <f t="shared" si="157"/>
        <v>33.11</v>
      </c>
      <c r="H396" s="397">
        <f t="shared" si="157"/>
        <v>97021.52</v>
      </c>
      <c r="I396" s="380">
        <f t="shared" si="157"/>
        <v>8495.84</v>
      </c>
      <c r="J396" s="354">
        <f t="shared" si="157"/>
        <v>3904.16</v>
      </c>
      <c r="K396" s="354">
        <f t="shared" si="157"/>
        <v>84621.52</v>
      </c>
      <c r="L396" s="354">
        <f t="shared" si="157"/>
        <v>0</v>
      </c>
      <c r="M396" s="354">
        <f t="shared" si="157"/>
        <v>88525.680000000008</v>
      </c>
      <c r="N396" s="97"/>
      <c r="O396" s="97"/>
      <c r="P396" s="97"/>
      <c r="Q396" s="97"/>
      <c r="R396" s="501"/>
    </row>
    <row r="397" spans="1:18" ht="15.75" customHeight="1" x14ac:dyDescent="0.2">
      <c r="A397" s="464">
        <v>44</v>
      </c>
      <c r="B397" s="508" t="s">
        <v>61</v>
      </c>
      <c r="C397" s="350">
        <v>2021</v>
      </c>
      <c r="D397" s="346"/>
      <c r="E397" s="346"/>
      <c r="F397" s="345"/>
      <c r="G397" s="91"/>
      <c r="H397" s="305">
        <f>I397+J397+K397+L397</f>
        <v>0</v>
      </c>
      <c r="I397" s="379"/>
      <c r="J397" s="94"/>
      <c r="K397" s="94"/>
      <c r="L397" s="94"/>
      <c r="M397" s="94">
        <f>J397+K397+L397</f>
        <v>0</v>
      </c>
      <c r="N397" s="97"/>
      <c r="O397" s="97"/>
      <c r="P397" s="97"/>
      <c r="Q397" s="97"/>
      <c r="R397" s="501"/>
    </row>
    <row r="398" spans="1:18" ht="15.75" customHeight="1" x14ac:dyDescent="0.2">
      <c r="A398" s="464"/>
      <c r="B398" s="509"/>
      <c r="C398" s="350">
        <v>2022</v>
      </c>
      <c r="D398" s="346"/>
      <c r="E398" s="346"/>
      <c r="F398" s="345"/>
      <c r="G398" s="91"/>
      <c r="H398" s="305">
        <f>I398+J398+K398+L398</f>
        <v>0</v>
      </c>
      <c r="I398" s="379"/>
      <c r="J398" s="94"/>
      <c r="K398" s="94"/>
      <c r="L398" s="94"/>
      <c r="M398" s="94">
        <f t="shared" ref="M398:M402" si="158">J398+K398+L398</f>
        <v>0</v>
      </c>
      <c r="N398" s="97"/>
      <c r="O398" s="97"/>
      <c r="P398" s="97"/>
      <c r="Q398" s="97"/>
      <c r="R398" s="501"/>
    </row>
    <row r="399" spans="1:18" ht="15.75" customHeight="1" x14ac:dyDescent="0.2">
      <c r="A399" s="464"/>
      <c r="B399" s="509"/>
      <c r="C399" s="350" t="s">
        <v>39</v>
      </c>
      <c r="D399" s="346"/>
      <c r="E399" s="355"/>
      <c r="F399" s="345"/>
      <c r="G399" s="91"/>
      <c r="H399" s="305">
        <f>I399+J399+K399+L399</f>
        <v>0</v>
      </c>
      <c r="I399" s="379"/>
      <c r="J399" s="94"/>
      <c r="K399" s="94"/>
      <c r="L399" s="94"/>
      <c r="M399" s="94">
        <f t="shared" si="158"/>
        <v>0</v>
      </c>
      <c r="N399" s="97"/>
      <c r="O399" s="97"/>
      <c r="P399" s="97"/>
      <c r="Q399" s="97"/>
      <c r="R399" s="501"/>
    </row>
    <row r="400" spans="1:18" ht="15.75" customHeight="1" x14ac:dyDescent="0.2">
      <c r="A400" s="464"/>
      <c r="B400" s="509"/>
      <c r="C400" s="350" t="s">
        <v>191</v>
      </c>
      <c r="D400" s="346">
        <v>319</v>
      </c>
      <c r="E400" s="355">
        <v>445.9212</v>
      </c>
      <c r="F400" s="345">
        <v>1.0449999999999999</v>
      </c>
      <c r="G400" s="91">
        <v>14</v>
      </c>
      <c r="H400" s="305">
        <f>I400+J400+K400+L400</f>
        <v>33632.69</v>
      </c>
      <c r="I400" s="379"/>
      <c r="J400" s="94">
        <v>12000</v>
      </c>
      <c r="K400" s="94">
        <f>20000-831.32+5500-3500+464+0.01</f>
        <v>21632.69</v>
      </c>
      <c r="L400" s="94"/>
      <c r="M400" s="94">
        <f t="shared" si="158"/>
        <v>33632.69</v>
      </c>
      <c r="N400" s="97" t="s">
        <v>28</v>
      </c>
      <c r="O400" s="97" t="s">
        <v>57</v>
      </c>
      <c r="P400" s="97" t="s">
        <v>55</v>
      </c>
      <c r="Q400" s="97"/>
      <c r="R400" s="501"/>
    </row>
    <row r="401" spans="1:18" ht="15.75" customHeight="1" x14ac:dyDescent="0.2">
      <c r="A401" s="464"/>
      <c r="B401" s="509"/>
      <c r="C401" s="350">
        <v>2025</v>
      </c>
      <c r="D401" s="346"/>
      <c r="E401" s="355"/>
      <c r="F401" s="345"/>
      <c r="G401" s="91"/>
      <c r="H401" s="305">
        <f>I401+J401+K401+L401</f>
        <v>48000</v>
      </c>
      <c r="I401" s="379">
        <v>0</v>
      </c>
      <c r="J401" s="94"/>
      <c r="K401" s="94">
        <f>48000</f>
        <v>48000</v>
      </c>
      <c r="L401" s="94"/>
      <c r="M401" s="94">
        <f t="shared" si="158"/>
        <v>48000</v>
      </c>
      <c r="N401" s="97"/>
      <c r="O401" s="97"/>
      <c r="P401" s="97"/>
      <c r="Q401" s="97" t="s">
        <v>31</v>
      </c>
      <c r="R401" s="501"/>
    </row>
    <row r="402" spans="1:18" ht="15" customHeight="1" x14ac:dyDescent="0.2">
      <c r="A402" s="464"/>
      <c r="B402" s="510"/>
      <c r="C402" s="350" t="s">
        <v>26</v>
      </c>
      <c r="D402" s="91">
        <f>SUM(D397:D401)</f>
        <v>319</v>
      </c>
      <c r="E402" s="91">
        <f>SUM(E397:E401)</f>
        <v>445.9212</v>
      </c>
      <c r="F402" s="91">
        <f t="shared" ref="F402:L402" si="159">SUM(F397:F401)</f>
        <v>1.0449999999999999</v>
      </c>
      <c r="G402" s="91">
        <f t="shared" si="159"/>
        <v>14</v>
      </c>
      <c r="H402" s="380">
        <f>SUM(H397:H401)</f>
        <v>81632.69</v>
      </c>
      <c r="I402" s="91">
        <f t="shared" si="159"/>
        <v>0</v>
      </c>
      <c r="J402" s="354">
        <f t="shared" si="159"/>
        <v>12000</v>
      </c>
      <c r="K402" s="354">
        <f>SUM(K397:K401)</f>
        <v>69632.69</v>
      </c>
      <c r="L402" s="354">
        <f t="shared" si="159"/>
        <v>0</v>
      </c>
      <c r="M402" s="354">
        <f t="shared" si="158"/>
        <v>81632.69</v>
      </c>
      <c r="N402" s="97"/>
      <c r="O402" s="97"/>
      <c r="P402" s="97"/>
      <c r="Q402" s="97"/>
      <c r="R402" s="501"/>
    </row>
    <row r="403" spans="1:18" ht="15" customHeight="1" x14ac:dyDescent="0.2">
      <c r="A403" s="464">
        <v>45</v>
      </c>
      <c r="B403" s="508" t="s">
        <v>206</v>
      </c>
      <c r="C403" s="350">
        <v>2021</v>
      </c>
      <c r="D403" s="346"/>
      <c r="E403" s="346"/>
      <c r="F403" s="345"/>
      <c r="G403" s="91"/>
      <c r="H403" s="305">
        <f>I403+J403+K403+L403</f>
        <v>0</v>
      </c>
      <c r="I403" s="379"/>
      <c r="J403" s="94"/>
      <c r="K403" s="94"/>
      <c r="L403" s="94"/>
      <c r="M403" s="94">
        <f>J403+K403+L403</f>
        <v>0</v>
      </c>
      <c r="N403" s="97"/>
      <c r="O403" s="97"/>
      <c r="P403" s="97"/>
      <c r="Q403" s="97"/>
      <c r="R403" s="501"/>
    </row>
    <row r="404" spans="1:18" ht="15" customHeight="1" x14ac:dyDescent="0.2">
      <c r="A404" s="464"/>
      <c r="B404" s="509"/>
      <c r="C404" s="350">
        <v>2022</v>
      </c>
      <c r="D404" s="346"/>
      <c r="E404" s="346"/>
      <c r="F404" s="345"/>
      <c r="G404" s="91"/>
      <c r="H404" s="305">
        <f>I404+J404+K404+L404</f>
        <v>0</v>
      </c>
      <c r="I404" s="379"/>
      <c r="J404" s="94"/>
      <c r="K404" s="94"/>
      <c r="L404" s="94"/>
      <c r="M404" s="94">
        <f t="shared" ref="M404:M408" si="160">J404+K404+L404</f>
        <v>0</v>
      </c>
      <c r="N404" s="97"/>
      <c r="O404" s="97"/>
      <c r="P404" s="97"/>
      <c r="Q404" s="97"/>
      <c r="R404" s="501"/>
    </row>
    <row r="405" spans="1:18" ht="15" customHeight="1" x14ac:dyDescent="0.2">
      <c r="A405" s="464"/>
      <c r="B405" s="509"/>
      <c r="C405" s="350" t="s">
        <v>39</v>
      </c>
      <c r="D405" s="346">
        <v>100</v>
      </c>
      <c r="E405" s="355">
        <v>500</v>
      </c>
      <c r="F405" s="345">
        <v>0.5</v>
      </c>
      <c r="G405" s="91">
        <v>0.02</v>
      </c>
      <c r="H405" s="305">
        <f>I405+J405+K405+L405</f>
        <v>2900</v>
      </c>
      <c r="I405" s="379"/>
      <c r="J405" s="94">
        <v>500</v>
      </c>
      <c r="K405" s="94">
        <f>1500+800+100</f>
        <v>2400</v>
      </c>
      <c r="L405" s="94"/>
      <c r="M405" s="94">
        <f t="shared" si="160"/>
        <v>2900</v>
      </c>
      <c r="N405" s="97" t="s">
        <v>28</v>
      </c>
      <c r="O405" s="97" t="s">
        <v>51</v>
      </c>
      <c r="P405" s="97" t="s">
        <v>53</v>
      </c>
      <c r="Q405" s="97" t="s">
        <v>31</v>
      </c>
      <c r="R405" s="501"/>
    </row>
    <row r="406" spans="1:18" ht="15" customHeight="1" x14ac:dyDescent="0.2">
      <c r="A406" s="464"/>
      <c r="B406" s="509"/>
      <c r="C406" s="350" t="s">
        <v>191</v>
      </c>
      <c r="D406" s="346"/>
      <c r="E406" s="355"/>
      <c r="F406" s="345"/>
      <c r="G406" s="91"/>
      <c r="H406" s="305">
        <f>I406+J406+K406+L406</f>
        <v>0</v>
      </c>
      <c r="I406" s="379"/>
      <c r="J406" s="94"/>
      <c r="K406" s="94"/>
      <c r="L406" s="94"/>
      <c r="M406" s="94">
        <f t="shared" si="160"/>
        <v>0</v>
      </c>
      <c r="N406" s="97"/>
      <c r="O406" s="97"/>
      <c r="P406" s="97"/>
      <c r="Q406" s="97"/>
      <c r="R406" s="501"/>
    </row>
    <row r="407" spans="1:18" ht="15" customHeight="1" x14ac:dyDescent="0.2">
      <c r="A407" s="464"/>
      <c r="B407" s="509"/>
      <c r="C407" s="350">
        <v>2025</v>
      </c>
      <c r="D407" s="346"/>
      <c r="E407" s="355"/>
      <c r="F407" s="345"/>
      <c r="G407" s="91"/>
      <c r="H407" s="305">
        <f>I407+J407+K407+L407</f>
        <v>0</v>
      </c>
      <c r="I407" s="379">
        <v>0</v>
      </c>
      <c r="J407" s="94"/>
      <c r="K407" s="94"/>
      <c r="L407" s="94"/>
      <c r="M407" s="94">
        <f t="shared" si="160"/>
        <v>0</v>
      </c>
      <c r="N407" s="97"/>
      <c r="O407" s="97"/>
      <c r="P407" s="97"/>
      <c r="Q407" s="97"/>
      <c r="R407" s="501"/>
    </row>
    <row r="408" spans="1:18" ht="15" customHeight="1" x14ac:dyDescent="0.2">
      <c r="A408" s="464"/>
      <c r="B408" s="510"/>
      <c r="C408" s="350" t="s">
        <v>26</v>
      </c>
      <c r="D408" s="91">
        <f>SUM(D403:D407)</f>
        <v>100</v>
      </c>
      <c r="E408" s="91">
        <f>SUM(E403:E407)</f>
        <v>500</v>
      </c>
      <c r="F408" s="91">
        <f t="shared" ref="F408:G408" si="161">SUM(F403:F407)</f>
        <v>0.5</v>
      </c>
      <c r="G408" s="91">
        <f t="shared" si="161"/>
        <v>0.02</v>
      </c>
      <c r="H408" s="380">
        <f>SUM(H403:H407)</f>
        <v>2900</v>
      </c>
      <c r="I408" s="91">
        <f t="shared" ref="I408:J408" si="162">SUM(I403:I407)</f>
        <v>0</v>
      </c>
      <c r="J408" s="354">
        <f t="shared" si="162"/>
        <v>500</v>
      </c>
      <c r="K408" s="354">
        <f>SUM(K403:K407)</f>
        <v>2400</v>
      </c>
      <c r="L408" s="354">
        <f t="shared" ref="L408" si="163">SUM(L403:L407)</f>
        <v>0</v>
      </c>
      <c r="M408" s="354">
        <f t="shared" si="160"/>
        <v>2900</v>
      </c>
      <c r="N408" s="97"/>
      <c r="O408" s="97"/>
      <c r="P408" s="97"/>
      <c r="Q408" s="97"/>
      <c r="R408" s="501"/>
    </row>
    <row r="409" spans="1:18" ht="15.75" customHeight="1" x14ac:dyDescent="0.2">
      <c r="A409" s="502" t="s">
        <v>3</v>
      </c>
      <c r="B409" s="502"/>
      <c r="C409" s="350">
        <v>2021</v>
      </c>
      <c r="D409" s="91">
        <f>D385+D391+D397+D403</f>
        <v>750</v>
      </c>
      <c r="E409" s="91">
        <f t="shared" ref="E409:L409" si="164">E385+E391+E397+E403</f>
        <v>1438</v>
      </c>
      <c r="F409" s="91">
        <f t="shared" si="164"/>
        <v>4.1202000000000005</v>
      </c>
      <c r="G409" s="91">
        <f t="shared" si="164"/>
        <v>43.61</v>
      </c>
      <c r="H409" s="91">
        <f t="shared" si="164"/>
        <v>91191.38</v>
      </c>
      <c r="I409" s="91">
        <f t="shared" si="164"/>
        <v>8495.84</v>
      </c>
      <c r="J409" s="91">
        <f t="shared" si="164"/>
        <v>6904.16</v>
      </c>
      <c r="K409" s="91">
        <f t="shared" si="164"/>
        <v>75791.38</v>
      </c>
      <c r="L409" s="91">
        <f t="shared" si="164"/>
        <v>0</v>
      </c>
      <c r="M409" s="94">
        <f>J409+K409+L409</f>
        <v>82695.540000000008</v>
      </c>
      <c r="N409" s="398"/>
      <c r="O409" s="97"/>
      <c r="P409" s="97"/>
      <c r="Q409" s="97"/>
      <c r="R409" s="466"/>
    </row>
    <row r="410" spans="1:18" ht="15.75" customHeight="1" x14ac:dyDescent="0.2">
      <c r="A410" s="502"/>
      <c r="B410" s="502"/>
      <c r="C410" s="350">
        <v>2022</v>
      </c>
      <c r="D410" s="91">
        <f t="shared" ref="D410:L410" si="165">D386+D392+D398+D404</f>
        <v>0</v>
      </c>
      <c r="E410" s="91">
        <f t="shared" si="165"/>
        <v>0</v>
      </c>
      <c r="F410" s="91">
        <f t="shared" si="165"/>
        <v>0</v>
      </c>
      <c r="G410" s="91">
        <f t="shared" si="165"/>
        <v>0</v>
      </c>
      <c r="H410" s="91">
        <f t="shared" si="165"/>
        <v>59298.58</v>
      </c>
      <c r="I410" s="91">
        <f t="shared" si="165"/>
        <v>0</v>
      </c>
      <c r="J410" s="91">
        <f t="shared" si="165"/>
        <v>3000</v>
      </c>
      <c r="K410" s="91">
        <f t="shared" si="165"/>
        <v>56298.58</v>
      </c>
      <c r="L410" s="91">
        <f t="shared" si="165"/>
        <v>0</v>
      </c>
      <c r="M410" s="94">
        <f t="shared" ref="M410:M413" si="166">J410+K410+L410</f>
        <v>59298.58</v>
      </c>
      <c r="N410" s="97"/>
      <c r="O410" s="97"/>
      <c r="P410" s="97"/>
      <c r="Q410" s="97"/>
      <c r="R410" s="466"/>
    </row>
    <row r="411" spans="1:18" ht="15.75" customHeight="1" x14ac:dyDescent="0.2">
      <c r="A411" s="502"/>
      <c r="B411" s="502"/>
      <c r="C411" s="350">
        <v>2023</v>
      </c>
      <c r="D411" s="91">
        <f t="shared" ref="D411:L411" si="167">D387+D393+D399+D405</f>
        <v>100</v>
      </c>
      <c r="E411" s="91">
        <f t="shared" si="167"/>
        <v>500</v>
      </c>
      <c r="F411" s="91">
        <f t="shared" si="167"/>
        <v>0.5</v>
      </c>
      <c r="G411" s="91">
        <f t="shared" si="167"/>
        <v>0.02</v>
      </c>
      <c r="H411" s="91">
        <f t="shared" si="167"/>
        <v>11900</v>
      </c>
      <c r="I411" s="91">
        <f t="shared" si="167"/>
        <v>0</v>
      </c>
      <c r="J411" s="91">
        <f t="shared" si="167"/>
        <v>500</v>
      </c>
      <c r="K411" s="91">
        <f t="shared" si="167"/>
        <v>11400</v>
      </c>
      <c r="L411" s="91">
        <f t="shared" si="167"/>
        <v>0</v>
      </c>
      <c r="M411" s="94">
        <f t="shared" si="166"/>
        <v>11900</v>
      </c>
      <c r="N411" s="97"/>
      <c r="O411" s="97"/>
      <c r="P411" s="97"/>
      <c r="Q411" s="97"/>
      <c r="R411" s="466"/>
    </row>
    <row r="412" spans="1:18" ht="15.75" customHeight="1" x14ac:dyDescent="0.2">
      <c r="A412" s="502"/>
      <c r="B412" s="502"/>
      <c r="C412" s="350" t="s">
        <v>191</v>
      </c>
      <c r="D412" s="91">
        <f t="shared" ref="D412:L412" si="168">D388+D394+D400+D406</f>
        <v>319</v>
      </c>
      <c r="E412" s="91">
        <f t="shared" si="168"/>
        <v>445.9212</v>
      </c>
      <c r="F412" s="91">
        <f t="shared" si="168"/>
        <v>1.0449999999999999</v>
      </c>
      <c r="G412" s="91">
        <f t="shared" si="168"/>
        <v>14</v>
      </c>
      <c r="H412" s="91">
        <f t="shared" si="168"/>
        <v>33632.69</v>
      </c>
      <c r="I412" s="91">
        <f t="shared" si="168"/>
        <v>0</v>
      </c>
      <c r="J412" s="91">
        <f t="shared" si="168"/>
        <v>12000</v>
      </c>
      <c r="K412" s="91">
        <f t="shared" si="168"/>
        <v>21632.69</v>
      </c>
      <c r="L412" s="91">
        <f t="shared" si="168"/>
        <v>0</v>
      </c>
      <c r="M412" s="94">
        <f t="shared" si="166"/>
        <v>33632.69</v>
      </c>
      <c r="N412" s="97"/>
      <c r="O412" s="97"/>
      <c r="P412" s="97"/>
      <c r="Q412" s="97"/>
      <c r="R412" s="466"/>
    </row>
    <row r="413" spans="1:18" ht="15.75" customHeight="1" x14ac:dyDescent="0.2">
      <c r="A413" s="502"/>
      <c r="B413" s="502"/>
      <c r="C413" s="350">
        <v>2025</v>
      </c>
      <c r="D413" s="91">
        <f t="shared" ref="D413:L413" si="169">D389+D395+D401+D407</f>
        <v>0</v>
      </c>
      <c r="E413" s="91">
        <f t="shared" si="169"/>
        <v>0</v>
      </c>
      <c r="F413" s="91">
        <f t="shared" si="169"/>
        <v>0</v>
      </c>
      <c r="G413" s="91">
        <f t="shared" si="169"/>
        <v>0</v>
      </c>
      <c r="H413" s="91">
        <f t="shared" si="169"/>
        <v>48000</v>
      </c>
      <c r="I413" s="91">
        <f t="shared" si="169"/>
        <v>0</v>
      </c>
      <c r="J413" s="91">
        <f t="shared" si="169"/>
        <v>0</v>
      </c>
      <c r="K413" s="91">
        <f t="shared" si="169"/>
        <v>48000</v>
      </c>
      <c r="L413" s="91">
        <f t="shared" si="169"/>
        <v>0</v>
      </c>
      <c r="M413" s="94">
        <f t="shared" si="166"/>
        <v>48000</v>
      </c>
      <c r="N413" s="97"/>
      <c r="O413" s="97"/>
      <c r="P413" s="97"/>
      <c r="Q413" s="97"/>
      <c r="R413" s="466"/>
    </row>
    <row r="414" spans="1:18" ht="13.5" customHeight="1" x14ac:dyDescent="0.2">
      <c r="A414" s="502"/>
      <c r="B414" s="502"/>
      <c r="C414" s="350" t="s">
        <v>12</v>
      </c>
      <c r="D414" s="91">
        <f>SUM(D409:D413)</f>
        <v>1169</v>
      </c>
      <c r="E414" s="91">
        <f t="shared" ref="E414:M414" si="170">SUM(E409:E413)</f>
        <v>2383.9211999999998</v>
      </c>
      <c r="F414" s="91">
        <f t="shared" si="170"/>
        <v>5.6652000000000005</v>
      </c>
      <c r="G414" s="91">
        <f t="shared" si="170"/>
        <v>57.63</v>
      </c>
      <c r="H414" s="91">
        <f t="shared" si="170"/>
        <v>244022.65000000002</v>
      </c>
      <c r="I414" s="91">
        <f t="shared" si="170"/>
        <v>8495.84</v>
      </c>
      <c r="J414" s="91">
        <f t="shared" si="170"/>
        <v>22404.16</v>
      </c>
      <c r="K414" s="91">
        <f>SUM(K409:K413)</f>
        <v>213122.65000000002</v>
      </c>
      <c r="L414" s="91">
        <f t="shared" si="170"/>
        <v>0</v>
      </c>
      <c r="M414" s="91">
        <f t="shared" si="170"/>
        <v>235526.81</v>
      </c>
      <c r="N414" s="97"/>
      <c r="O414" s="97"/>
      <c r="P414" s="97"/>
      <c r="Q414" s="97"/>
      <c r="R414" s="466"/>
    </row>
    <row r="415" spans="1:18" ht="17.25" customHeight="1" x14ac:dyDescent="0.2">
      <c r="A415" s="522" t="s">
        <v>221</v>
      </c>
      <c r="B415" s="523"/>
      <c r="C415" s="350">
        <v>2021</v>
      </c>
      <c r="D415" s="346"/>
      <c r="E415" s="346"/>
      <c r="F415" s="346"/>
      <c r="G415" s="346"/>
      <c r="H415" s="399"/>
      <c r="I415" s="400"/>
      <c r="J415" s="388"/>
      <c r="K415" s="388"/>
      <c r="L415" s="101">
        <v>2188.48</v>
      </c>
      <c r="M415" s="101">
        <f>SUM(J415:L415)</f>
        <v>2188.48</v>
      </c>
      <c r="N415" s="97"/>
      <c r="O415" s="97"/>
      <c r="P415" s="97"/>
      <c r="Q415" s="97"/>
      <c r="R415" s="501"/>
    </row>
    <row r="416" spans="1:18" ht="60.75" customHeight="1" x14ac:dyDescent="0.2">
      <c r="A416" s="524"/>
      <c r="B416" s="525"/>
      <c r="C416" s="350" t="s">
        <v>32</v>
      </c>
      <c r="D416" s="346"/>
      <c r="E416" s="346"/>
      <c r="F416" s="346"/>
      <c r="G416" s="92"/>
      <c r="H416" s="399"/>
      <c r="I416" s="400"/>
      <c r="J416" s="388"/>
      <c r="K416" s="388"/>
      <c r="L416" s="298">
        <v>2188.48</v>
      </c>
      <c r="M416" s="298">
        <f>SUM(J416:L416)</f>
        <v>2188.48</v>
      </c>
      <c r="N416" s="309" t="s">
        <v>105</v>
      </c>
      <c r="O416" s="309" t="s">
        <v>106</v>
      </c>
      <c r="P416" s="315"/>
      <c r="Q416" s="315"/>
      <c r="R416" s="501"/>
    </row>
    <row r="417" spans="1:19" x14ac:dyDescent="0.2">
      <c r="A417" s="518" t="s">
        <v>116</v>
      </c>
      <c r="B417" s="518"/>
      <c r="C417" s="350">
        <v>2021</v>
      </c>
      <c r="D417" s="346"/>
      <c r="E417" s="346"/>
      <c r="F417" s="346"/>
      <c r="G417" s="346"/>
      <c r="H417" s="399"/>
      <c r="I417" s="400"/>
      <c r="J417" s="388"/>
      <c r="K417" s="388"/>
      <c r="L417" s="101">
        <v>2188.48</v>
      </c>
      <c r="M417" s="298">
        <f t="shared" ref="M417:M421" si="171">SUM(J417:L417)</f>
        <v>2188.48</v>
      </c>
      <c r="N417" s="309"/>
      <c r="O417" s="309"/>
      <c r="P417" s="315"/>
      <c r="Q417" s="315"/>
      <c r="R417" s="519"/>
      <c r="S417" s="34"/>
    </row>
    <row r="418" spans="1:19" x14ac:dyDescent="0.2">
      <c r="A418" s="518"/>
      <c r="B418" s="518"/>
      <c r="C418" s="350">
        <v>2022</v>
      </c>
      <c r="D418" s="346"/>
      <c r="E418" s="346"/>
      <c r="F418" s="346"/>
      <c r="G418" s="346"/>
      <c r="H418" s="399"/>
      <c r="I418" s="400"/>
      <c r="J418" s="388"/>
      <c r="K418" s="388"/>
      <c r="L418" s="101">
        <v>42000</v>
      </c>
      <c r="M418" s="298">
        <f t="shared" si="171"/>
        <v>42000</v>
      </c>
      <c r="N418" s="309"/>
      <c r="O418" s="309"/>
      <c r="P418" s="315"/>
      <c r="Q418" s="315"/>
      <c r="R418" s="520"/>
      <c r="S418" s="34"/>
    </row>
    <row r="419" spans="1:19" x14ac:dyDescent="0.2">
      <c r="A419" s="518"/>
      <c r="B419" s="518"/>
      <c r="C419" s="350" t="s">
        <v>39</v>
      </c>
      <c r="D419" s="346"/>
      <c r="E419" s="346"/>
      <c r="F419" s="346"/>
      <c r="G419" s="346"/>
      <c r="H419" s="399"/>
      <c r="I419" s="400"/>
      <c r="J419" s="388"/>
      <c r="K419" s="388"/>
      <c r="L419" s="101">
        <v>85000</v>
      </c>
      <c r="M419" s="298">
        <f t="shared" si="171"/>
        <v>85000</v>
      </c>
      <c r="N419" s="309"/>
      <c r="O419" s="309"/>
      <c r="P419" s="315"/>
      <c r="Q419" s="315"/>
      <c r="R419" s="520"/>
      <c r="S419" s="34"/>
    </row>
    <row r="420" spans="1:19" x14ac:dyDescent="0.2">
      <c r="A420" s="518"/>
      <c r="B420" s="518"/>
      <c r="C420" s="350" t="s">
        <v>191</v>
      </c>
      <c r="D420" s="346"/>
      <c r="E420" s="346"/>
      <c r="F420" s="346"/>
      <c r="G420" s="346"/>
      <c r="H420" s="399"/>
      <c r="I420" s="400"/>
      <c r="J420" s="388"/>
      <c r="K420" s="388"/>
      <c r="L420" s="101">
        <v>95000</v>
      </c>
      <c r="M420" s="298">
        <f t="shared" si="171"/>
        <v>95000</v>
      </c>
      <c r="N420" s="309"/>
      <c r="O420" s="309"/>
      <c r="P420" s="328" t="s">
        <v>207</v>
      </c>
      <c r="Q420" s="329" t="s">
        <v>208</v>
      </c>
      <c r="R420" s="520"/>
      <c r="S420" s="34"/>
    </row>
    <row r="421" spans="1:19" ht="15.75" customHeight="1" x14ac:dyDescent="0.2">
      <c r="A421" s="518"/>
      <c r="B421" s="518"/>
      <c r="C421" s="350">
        <v>2025</v>
      </c>
      <c r="D421" s="346"/>
      <c r="E421" s="346"/>
      <c r="F421" s="346"/>
      <c r="G421" s="92"/>
      <c r="H421" s="399"/>
      <c r="I421" s="400"/>
      <c r="J421" s="388"/>
      <c r="K421" s="388"/>
      <c r="L421" s="101">
        <v>95000</v>
      </c>
      <c r="M421" s="298">
        <f t="shared" si="171"/>
        <v>95000</v>
      </c>
      <c r="N421" s="310" t="s">
        <v>200</v>
      </c>
      <c r="O421" s="35"/>
      <c r="P421" s="311">
        <f>[2]Лист1!$I$11</f>
        <v>94911.41516000015</v>
      </c>
      <c r="Q421" s="315"/>
      <c r="R421" s="521"/>
      <c r="S421" s="34"/>
    </row>
    <row r="422" spans="1:19" ht="15.75" customHeight="1" x14ac:dyDescent="0.2">
      <c r="A422" s="502" t="s">
        <v>35</v>
      </c>
      <c r="B422" s="502"/>
      <c r="C422" s="401">
        <v>2021</v>
      </c>
      <c r="D422" s="92">
        <f t="shared" ref="D422:K426" si="172">D59+D78+D109+D146+D207+D226+D295+D365+D409+D320+D239+D252+D333+D378+D346</f>
        <v>13737</v>
      </c>
      <c r="E422" s="92">
        <f t="shared" si="172"/>
        <v>32969.881000000008</v>
      </c>
      <c r="F422" s="92">
        <f t="shared" si="172"/>
        <v>83.330199999999991</v>
      </c>
      <c r="G422" s="92">
        <f t="shared" si="172"/>
        <v>206.39100000000002</v>
      </c>
      <c r="H422" s="92">
        <f t="shared" si="172"/>
        <v>801311.3703200001</v>
      </c>
      <c r="I422" s="92">
        <f t="shared" si="172"/>
        <v>370898.43276</v>
      </c>
      <c r="J422" s="92">
        <f t="shared" si="172"/>
        <v>47469.662879999989</v>
      </c>
      <c r="K422" s="92">
        <f t="shared" si="172"/>
        <v>382314.42167999997</v>
      </c>
      <c r="L422" s="92">
        <v>2188.48</v>
      </c>
      <c r="M422" s="402">
        <f>J422+K422+L422</f>
        <v>431972.56455999997</v>
      </c>
      <c r="N422" s="311">
        <v>420269.5</v>
      </c>
      <c r="O422" s="312">
        <f>M422-N422</f>
        <v>11703.06455999997</v>
      </c>
      <c r="P422" s="311">
        <v>337061.15</v>
      </c>
      <c r="Q422" s="311">
        <f>(P422+P421)-M422</f>
        <v>6.0000020312145352E-4</v>
      </c>
      <c r="R422" s="503"/>
      <c r="S422" s="34"/>
    </row>
    <row r="423" spans="1:19" ht="15.75" customHeight="1" x14ac:dyDescent="0.2">
      <c r="A423" s="502"/>
      <c r="B423" s="502"/>
      <c r="C423" s="401">
        <v>2022</v>
      </c>
      <c r="D423" s="92">
        <f t="shared" si="172"/>
        <v>1567</v>
      </c>
      <c r="E423" s="92">
        <f t="shared" si="172"/>
        <v>3488.0439999999999</v>
      </c>
      <c r="F423" s="92">
        <f t="shared" si="172"/>
        <v>10.066999999999998</v>
      </c>
      <c r="G423" s="92">
        <f t="shared" si="172"/>
        <v>35.450000000000003</v>
      </c>
      <c r="H423" s="92">
        <f t="shared" si="172"/>
        <v>295061.15000000002</v>
      </c>
      <c r="I423" s="92">
        <f t="shared" si="172"/>
        <v>0</v>
      </c>
      <c r="J423" s="92">
        <f t="shared" si="172"/>
        <v>25900</v>
      </c>
      <c r="K423" s="92">
        <f t="shared" si="172"/>
        <v>269161.15000000002</v>
      </c>
      <c r="L423" s="92">
        <v>42000</v>
      </c>
      <c r="M423" s="402">
        <f t="shared" ref="M423:M426" si="173">J423+K423+L423</f>
        <v>337061.15</v>
      </c>
      <c r="N423" s="311">
        <f>360667.31+241.65</f>
        <v>360908.96</v>
      </c>
      <c r="O423" s="312">
        <f t="shared" ref="O423:O426" si="174">M423-N423</f>
        <v>-23847.809999999998</v>
      </c>
      <c r="P423" s="311">
        <v>337061.15</v>
      </c>
      <c r="Q423" s="330">
        <f>P423-M423</f>
        <v>0</v>
      </c>
      <c r="R423" s="503"/>
      <c r="S423" s="34"/>
    </row>
    <row r="424" spans="1:19" ht="15.75" customHeight="1" x14ac:dyDescent="0.2">
      <c r="A424" s="502"/>
      <c r="B424" s="502"/>
      <c r="C424" s="401" t="s">
        <v>39</v>
      </c>
      <c r="D424" s="92">
        <f t="shared" si="172"/>
        <v>2033</v>
      </c>
      <c r="E424" s="92">
        <f t="shared" si="172"/>
        <v>5395.4522999999999</v>
      </c>
      <c r="F424" s="92">
        <f t="shared" si="172"/>
        <v>14.470699999999999</v>
      </c>
      <c r="G424" s="92">
        <f t="shared" si="172"/>
        <v>30.06</v>
      </c>
      <c r="H424" s="92">
        <f t="shared" si="172"/>
        <v>252061.15</v>
      </c>
      <c r="I424" s="92">
        <f t="shared" si="172"/>
        <v>0</v>
      </c>
      <c r="J424" s="92">
        <f t="shared" si="172"/>
        <v>26500</v>
      </c>
      <c r="K424" s="92">
        <f t="shared" si="172"/>
        <v>225561.15</v>
      </c>
      <c r="L424" s="92">
        <v>85000</v>
      </c>
      <c r="M424" s="402">
        <f>J424+K424+L424</f>
        <v>337061.15</v>
      </c>
      <c r="N424" s="311">
        <v>324916.40999999997</v>
      </c>
      <c r="O424" s="312">
        <f t="shared" si="174"/>
        <v>12144.740000000049</v>
      </c>
      <c r="P424" s="331">
        <v>337061.15</v>
      </c>
      <c r="Q424" s="330">
        <f>P424-M424</f>
        <v>0</v>
      </c>
      <c r="R424" s="503"/>
      <c r="S424" s="34"/>
    </row>
    <row r="425" spans="1:19" ht="15.75" customHeight="1" x14ac:dyDescent="0.2">
      <c r="A425" s="502"/>
      <c r="B425" s="502"/>
      <c r="C425" s="401" t="s">
        <v>191</v>
      </c>
      <c r="D425" s="92">
        <f t="shared" si="172"/>
        <v>1162</v>
      </c>
      <c r="E425" s="92">
        <f t="shared" si="172"/>
        <v>6561.8122000000003</v>
      </c>
      <c r="F425" s="92">
        <f t="shared" si="172"/>
        <v>5.8569000000000004</v>
      </c>
      <c r="G425" s="92">
        <f t="shared" si="172"/>
        <v>45.07</v>
      </c>
      <c r="H425" s="92">
        <f t="shared" si="172"/>
        <v>242061.16</v>
      </c>
      <c r="I425" s="92">
        <f t="shared" si="172"/>
        <v>0</v>
      </c>
      <c r="J425" s="92">
        <f t="shared" si="172"/>
        <v>43336</v>
      </c>
      <c r="K425" s="92">
        <f t="shared" si="172"/>
        <v>198725.16</v>
      </c>
      <c r="L425" s="92">
        <v>95000</v>
      </c>
      <c r="M425" s="402">
        <f>J425+K425+L425</f>
        <v>337061.16000000003</v>
      </c>
      <c r="N425" s="311">
        <v>337061.15</v>
      </c>
      <c r="O425" s="312">
        <f t="shared" si="174"/>
        <v>1.0000000009313226E-2</v>
      </c>
      <c r="P425" s="331">
        <v>337061.15</v>
      </c>
      <c r="Q425" s="330">
        <f t="shared" ref="Q425:Q426" si="175">P425-M425</f>
        <v>-1.0000000009313226E-2</v>
      </c>
      <c r="R425" s="503"/>
      <c r="S425" s="34"/>
    </row>
    <row r="426" spans="1:19" ht="15.75" customHeight="1" x14ac:dyDescent="0.2">
      <c r="A426" s="502"/>
      <c r="B426" s="502"/>
      <c r="C426" s="401">
        <v>2025</v>
      </c>
      <c r="D426" s="92">
        <f t="shared" si="172"/>
        <v>20</v>
      </c>
      <c r="E426" s="92">
        <f t="shared" si="172"/>
        <v>120</v>
      </c>
      <c r="F426" s="92">
        <f t="shared" si="172"/>
        <v>0.2</v>
      </c>
      <c r="G426" s="92">
        <f t="shared" si="172"/>
        <v>1.7</v>
      </c>
      <c r="H426" s="92">
        <f t="shared" si="172"/>
        <v>219561.15</v>
      </c>
      <c r="I426" s="92">
        <f t="shared" si="172"/>
        <v>0</v>
      </c>
      <c r="J426" s="92">
        <f t="shared" si="172"/>
        <v>1600</v>
      </c>
      <c r="K426" s="92">
        <f t="shared" si="172"/>
        <v>240461.15</v>
      </c>
      <c r="L426" s="92">
        <v>95000</v>
      </c>
      <c r="M426" s="402">
        <f t="shared" si="173"/>
        <v>337061.15</v>
      </c>
      <c r="N426" s="311">
        <v>337061.15</v>
      </c>
      <c r="O426" s="312">
        <f t="shared" si="174"/>
        <v>0</v>
      </c>
      <c r="P426" s="331">
        <v>337061.15</v>
      </c>
      <c r="Q426" s="330">
        <f t="shared" si="175"/>
        <v>0</v>
      </c>
      <c r="R426" s="503"/>
      <c r="S426" s="34"/>
    </row>
    <row r="427" spans="1:19" s="11" customFormat="1" ht="27.75" customHeight="1" x14ac:dyDescent="0.25">
      <c r="A427" s="502"/>
      <c r="B427" s="502"/>
      <c r="C427" s="403" t="s">
        <v>33</v>
      </c>
      <c r="D427" s="93">
        <f t="shared" ref="D427:L427" si="176">SUM(D422:D426)</f>
        <v>18519</v>
      </c>
      <c r="E427" s="93">
        <f t="shared" si="176"/>
        <v>48535.189500000008</v>
      </c>
      <c r="F427" s="93">
        <f t="shared" si="176"/>
        <v>113.92479999999998</v>
      </c>
      <c r="G427" s="89">
        <f t="shared" si="176"/>
        <v>318.67099999999999</v>
      </c>
      <c r="H427" s="89">
        <f t="shared" si="176"/>
        <v>1810055.9803199999</v>
      </c>
      <c r="I427" s="89">
        <f t="shared" si="176"/>
        <v>370898.43276</v>
      </c>
      <c r="J427" s="89">
        <f t="shared" si="176"/>
        <v>144805.66287999999</v>
      </c>
      <c r="K427" s="89">
        <f t="shared" si="176"/>
        <v>1316223.03168</v>
      </c>
      <c r="L427" s="89">
        <f t="shared" si="176"/>
        <v>319188.47999999998</v>
      </c>
      <c r="M427" s="89">
        <f>SUM(M422:M426)</f>
        <v>1780217.1745600002</v>
      </c>
      <c r="N427" s="313">
        <f t="shared" ref="N427" si="177">SUM(N422:N426)</f>
        <v>1780217.17</v>
      </c>
      <c r="O427" s="314">
        <f>M427-N427</f>
        <v>4.5600002631545067E-3</v>
      </c>
      <c r="P427" s="332">
        <f>SUM(P421:P426)</f>
        <v>1780217.1651599999</v>
      </c>
      <c r="Q427" s="333"/>
      <c r="R427" s="503"/>
      <c r="S427" s="31"/>
    </row>
    <row r="428" spans="1:19" x14ac:dyDescent="0.2">
      <c r="A428" s="28"/>
      <c r="B428" s="20"/>
      <c r="C428" s="21"/>
      <c r="D428" s="22"/>
      <c r="E428" s="23"/>
      <c r="F428" s="23"/>
      <c r="G428" s="24"/>
      <c r="H428" s="25"/>
      <c r="I428" s="25"/>
      <c r="J428" s="26"/>
      <c r="K428" s="26"/>
      <c r="L428" s="26"/>
      <c r="M428" s="26"/>
      <c r="N428" s="335"/>
      <c r="O428" s="336"/>
      <c r="P428" s="337"/>
      <c r="Q428" s="335">
        <f>SUM(Q422:Q427)</f>
        <v>-9.3999998061917722E-3</v>
      </c>
      <c r="R428" s="338"/>
      <c r="S428" s="34"/>
    </row>
    <row r="429" spans="1:19" x14ac:dyDescent="0.2">
      <c r="A429" s="29"/>
      <c r="B429" s="27"/>
      <c r="C429" s="27"/>
      <c r="D429" s="27"/>
      <c r="E429" s="27"/>
      <c r="F429" s="27"/>
      <c r="I429" s="34">
        <f>371828.26</f>
        <v>371828.26</v>
      </c>
      <c r="J429" s="320">
        <f>I429-I422</f>
        <v>929.82724000001326</v>
      </c>
      <c r="K429" s="35"/>
      <c r="L429" s="35"/>
      <c r="M429" s="35"/>
      <c r="N429" s="321"/>
      <c r="O429" s="35"/>
      <c r="P429" s="35"/>
      <c r="Q429" s="35"/>
      <c r="R429" s="339"/>
      <c r="S429" s="34"/>
    </row>
    <row r="430" spans="1:19" ht="12.75" customHeight="1" x14ac:dyDescent="0.2">
      <c r="A430" s="31"/>
      <c r="B430" s="316"/>
      <c r="C430" s="6"/>
      <c r="D430" s="322"/>
      <c r="E430" s="322"/>
      <c r="F430" s="322"/>
      <c r="G430" s="322"/>
      <c r="H430" s="33"/>
      <c r="I430" s="34"/>
      <c r="J430" s="35"/>
      <c r="K430" s="35"/>
      <c r="L430" s="35"/>
      <c r="M430" s="35"/>
      <c r="N430" s="35"/>
      <c r="O430" s="321">
        <f>Q422-M422</f>
        <v>-431972.56395999977</v>
      </c>
      <c r="P430" s="35"/>
      <c r="Q430" s="35"/>
      <c r="R430" s="36"/>
    </row>
    <row r="431" spans="1:19" ht="12.75" customHeight="1" x14ac:dyDescent="0.2">
      <c r="A431" s="31"/>
      <c r="B431" s="317"/>
      <c r="C431" s="6"/>
      <c r="D431" s="322"/>
      <c r="E431" s="322"/>
      <c r="F431" s="322"/>
      <c r="G431" s="322"/>
      <c r="H431" s="33"/>
      <c r="I431" s="34"/>
      <c r="J431" s="35"/>
      <c r="K431" s="35"/>
      <c r="L431" s="35"/>
      <c r="M431" s="35"/>
      <c r="N431" s="35"/>
      <c r="O431" s="321">
        <f>P423-M423</f>
        <v>0</v>
      </c>
      <c r="P431" s="35"/>
      <c r="Q431" s="35"/>
      <c r="R431" s="36"/>
    </row>
    <row r="432" spans="1:19" ht="12.75" customHeight="1" x14ac:dyDescent="0.2">
      <c r="A432" s="31"/>
      <c r="B432" s="318"/>
      <c r="C432" s="6"/>
      <c r="D432" s="322"/>
      <c r="E432" s="322"/>
      <c r="F432" s="322"/>
      <c r="G432" s="322"/>
      <c r="H432" s="33"/>
      <c r="I432" s="34"/>
      <c r="J432" s="35"/>
      <c r="K432" s="35"/>
      <c r="L432" s="35"/>
      <c r="M432" s="35"/>
      <c r="N432" s="35"/>
      <c r="O432" s="35"/>
      <c r="P432" s="35"/>
      <c r="Q432" s="35"/>
      <c r="R432" s="36"/>
    </row>
    <row r="433" spans="1:18" ht="15" customHeight="1" x14ac:dyDescent="0.2">
      <c r="A433" s="31"/>
      <c r="B433" s="340"/>
      <c r="C433" s="6"/>
      <c r="D433" s="31"/>
      <c r="E433" s="31"/>
      <c r="F433" s="31"/>
      <c r="G433" s="31"/>
      <c r="H433" s="33"/>
      <c r="I433" s="34"/>
      <c r="J433" s="35"/>
      <c r="K433" s="35"/>
      <c r="L433" s="35"/>
      <c r="M433" s="35"/>
      <c r="N433" s="35"/>
      <c r="O433" s="35"/>
      <c r="P433" s="35"/>
      <c r="Q433" s="35"/>
      <c r="R433" s="36"/>
    </row>
    <row r="434" spans="1:18" x14ac:dyDescent="0.2">
      <c r="A434" s="31"/>
      <c r="B434" s="32"/>
      <c r="C434" s="32"/>
      <c r="D434" s="31"/>
      <c r="E434" s="31"/>
      <c r="F434" s="31"/>
      <c r="G434" s="31"/>
      <c r="H434" s="33"/>
      <c r="I434" s="34"/>
      <c r="J434" s="35"/>
      <c r="K434" s="35"/>
      <c r="L434" s="35"/>
      <c r="M434" s="35"/>
      <c r="N434" s="35"/>
      <c r="O434" s="35"/>
      <c r="P434" s="35"/>
      <c r="Q434" s="35"/>
      <c r="R434" s="36"/>
    </row>
    <row r="435" spans="1:18" x14ac:dyDescent="0.2">
      <c r="A435" s="31"/>
      <c r="B435" s="32"/>
      <c r="C435" s="32"/>
      <c r="D435" s="31"/>
      <c r="E435" s="31"/>
      <c r="F435" s="31"/>
      <c r="G435" s="31"/>
      <c r="H435" s="33"/>
      <c r="I435" s="34"/>
      <c r="J435" s="35"/>
      <c r="K435" s="35"/>
      <c r="L435" s="35"/>
      <c r="M435" s="35"/>
      <c r="N435" s="35"/>
      <c r="O435" s="35"/>
      <c r="P435" s="35"/>
      <c r="Q435" s="35"/>
      <c r="R435" s="36"/>
    </row>
    <row r="436" spans="1:18" x14ac:dyDescent="0.2">
      <c r="A436" s="31"/>
      <c r="B436" s="32"/>
      <c r="C436" s="32"/>
      <c r="D436" s="31"/>
      <c r="E436" s="31"/>
      <c r="F436" s="31"/>
      <c r="G436" s="31"/>
      <c r="H436" s="33"/>
      <c r="I436" s="34"/>
      <c r="J436" s="35"/>
      <c r="K436" s="35"/>
      <c r="L436" s="35"/>
      <c r="M436" s="35"/>
      <c r="N436" s="35"/>
      <c r="O436" s="35"/>
      <c r="P436" s="35"/>
      <c r="Q436" s="35"/>
      <c r="R436" s="36"/>
    </row>
    <row r="437" spans="1:18" x14ac:dyDescent="0.2">
      <c r="A437" s="31"/>
      <c r="B437" s="32"/>
      <c r="C437" s="32"/>
      <c r="D437" s="31"/>
      <c r="E437" s="31"/>
      <c r="F437" s="31"/>
      <c r="G437" s="31"/>
      <c r="H437" s="33"/>
      <c r="I437" s="34"/>
      <c r="J437" s="35"/>
      <c r="K437" s="35"/>
      <c r="L437" s="35"/>
      <c r="M437" s="35"/>
      <c r="N437" s="35"/>
      <c r="O437" s="35"/>
      <c r="P437" s="35"/>
      <c r="Q437" s="35"/>
      <c r="R437" s="36"/>
    </row>
    <row r="438" spans="1:18" x14ac:dyDescent="0.2">
      <c r="A438" s="31"/>
      <c r="B438" s="32"/>
      <c r="C438" s="32"/>
      <c r="D438" s="31"/>
      <c r="E438" s="31"/>
      <c r="F438" s="31"/>
      <c r="G438" s="31"/>
      <c r="H438" s="33"/>
      <c r="I438" s="34"/>
      <c r="J438" s="35"/>
      <c r="K438" s="35"/>
      <c r="L438" s="35"/>
      <c r="M438" s="35"/>
      <c r="N438" s="35"/>
      <c r="O438" s="35"/>
      <c r="P438" s="35"/>
      <c r="Q438" s="35"/>
      <c r="R438" s="36"/>
    </row>
    <row r="439" spans="1:18" x14ac:dyDescent="0.2">
      <c r="A439" s="31"/>
      <c r="B439" s="32"/>
      <c r="C439" s="32"/>
      <c r="D439" s="31"/>
      <c r="E439" s="31"/>
      <c r="F439" s="31"/>
      <c r="G439" s="31"/>
      <c r="H439" s="33"/>
      <c r="I439" s="34"/>
      <c r="J439" s="35"/>
      <c r="K439" s="35"/>
      <c r="L439" s="35"/>
      <c r="M439" s="35"/>
      <c r="N439" s="35"/>
      <c r="O439" s="35"/>
      <c r="P439" s="35"/>
      <c r="Q439" s="35"/>
      <c r="R439" s="36"/>
    </row>
    <row r="440" spans="1:18" x14ac:dyDescent="0.2">
      <c r="A440" s="31"/>
      <c r="B440" s="32"/>
      <c r="C440" s="32"/>
      <c r="D440" s="31"/>
      <c r="E440" s="31"/>
      <c r="F440" s="31"/>
      <c r="G440" s="31"/>
      <c r="H440" s="33"/>
      <c r="I440" s="34"/>
      <c r="J440" s="35"/>
      <c r="K440" s="35"/>
      <c r="L440" s="35"/>
      <c r="M440" s="35"/>
      <c r="N440" s="35"/>
      <c r="O440" s="35"/>
      <c r="P440" s="35"/>
      <c r="Q440" s="35"/>
      <c r="R440" s="36"/>
    </row>
    <row r="441" spans="1:18" x14ac:dyDescent="0.2">
      <c r="A441" s="31"/>
      <c r="B441" s="32"/>
      <c r="C441" s="32"/>
      <c r="D441" s="31"/>
      <c r="E441" s="31"/>
      <c r="F441" s="31"/>
      <c r="G441" s="31"/>
      <c r="H441" s="33"/>
      <c r="I441" s="34"/>
      <c r="J441" s="35"/>
      <c r="K441" s="35"/>
      <c r="L441" s="35"/>
      <c r="M441" s="35"/>
      <c r="N441" s="35"/>
      <c r="O441" s="35"/>
      <c r="P441" s="35"/>
      <c r="Q441" s="35"/>
      <c r="R441" s="36"/>
    </row>
    <row r="442" spans="1:18" x14ac:dyDescent="0.2">
      <c r="A442" s="31"/>
      <c r="B442" s="32"/>
      <c r="C442" s="32"/>
      <c r="D442" s="31"/>
      <c r="E442" s="31"/>
      <c r="F442" s="31"/>
      <c r="G442" s="31"/>
      <c r="H442" s="33"/>
      <c r="I442" s="34"/>
      <c r="J442" s="35"/>
      <c r="K442" s="35"/>
      <c r="L442" s="35"/>
      <c r="M442" s="35"/>
      <c r="N442" s="35"/>
      <c r="O442" s="35"/>
      <c r="P442" s="35"/>
      <c r="Q442" s="35"/>
      <c r="R442" s="36"/>
    </row>
    <row r="443" spans="1:18" x14ac:dyDescent="0.2">
      <c r="A443" s="31"/>
      <c r="B443" s="32"/>
      <c r="C443" s="32"/>
      <c r="D443" s="31"/>
      <c r="E443" s="31"/>
      <c r="F443" s="31"/>
      <c r="G443" s="31"/>
      <c r="H443" s="33"/>
      <c r="I443" s="34"/>
      <c r="J443" s="35"/>
      <c r="K443" s="35"/>
      <c r="L443" s="35"/>
      <c r="M443" s="35"/>
      <c r="N443" s="35"/>
      <c r="O443" s="35"/>
      <c r="P443" s="35"/>
      <c r="Q443" s="35"/>
      <c r="R443" s="36"/>
    </row>
    <row r="444" spans="1:18" x14ac:dyDescent="0.2">
      <c r="A444" s="31"/>
      <c r="B444" s="32"/>
      <c r="C444" s="32"/>
      <c r="D444" s="31"/>
      <c r="E444" s="31"/>
      <c r="F444" s="31"/>
      <c r="G444" s="31"/>
      <c r="H444" s="33"/>
      <c r="I444" s="34"/>
      <c r="J444" s="35"/>
      <c r="K444" s="35"/>
      <c r="L444" s="35"/>
      <c r="M444" s="35"/>
      <c r="N444" s="35"/>
      <c r="O444" s="35"/>
      <c r="P444" s="35"/>
      <c r="Q444" s="35"/>
      <c r="R444" s="36"/>
    </row>
    <row r="445" spans="1:18" x14ac:dyDescent="0.2">
      <c r="A445" s="31"/>
      <c r="B445" s="32"/>
      <c r="C445" s="32"/>
      <c r="D445" s="31"/>
      <c r="E445" s="31"/>
      <c r="F445" s="31"/>
      <c r="G445" s="31"/>
      <c r="H445" s="33"/>
      <c r="I445" s="34"/>
      <c r="J445" s="35"/>
      <c r="K445" s="35"/>
      <c r="L445" s="35"/>
      <c r="M445" s="35"/>
      <c r="N445" s="35"/>
      <c r="O445" s="35"/>
      <c r="P445" s="35"/>
      <c r="Q445" s="35"/>
      <c r="R445" s="36"/>
    </row>
    <row r="446" spans="1:18" x14ac:dyDescent="0.2">
      <c r="A446" s="31"/>
      <c r="B446" s="32"/>
      <c r="C446" s="32"/>
      <c r="D446" s="31"/>
      <c r="E446" s="31"/>
      <c r="F446" s="31"/>
      <c r="G446" s="31"/>
      <c r="H446" s="33"/>
      <c r="I446" s="34"/>
      <c r="J446" s="35"/>
      <c r="K446" s="35"/>
      <c r="L446" s="35"/>
      <c r="M446" s="35"/>
      <c r="N446" s="35"/>
      <c r="O446" s="35"/>
      <c r="P446" s="35"/>
      <c r="Q446" s="35"/>
      <c r="R446" s="36"/>
    </row>
    <row r="447" spans="1:18" x14ac:dyDescent="0.2">
      <c r="A447" s="31"/>
      <c r="B447" s="32"/>
      <c r="C447" s="32"/>
      <c r="D447" s="31"/>
      <c r="E447" s="31"/>
      <c r="F447" s="31"/>
      <c r="G447" s="31"/>
      <c r="H447" s="33"/>
      <c r="I447" s="34"/>
      <c r="J447" s="35"/>
      <c r="K447" s="35"/>
      <c r="L447" s="35"/>
      <c r="M447" s="35"/>
      <c r="N447" s="35"/>
      <c r="O447" s="35"/>
      <c r="P447" s="35"/>
      <c r="Q447" s="35"/>
      <c r="R447" s="36"/>
    </row>
    <row r="448" spans="1:18" x14ac:dyDescent="0.2">
      <c r="A448" s="31"/>
      <c r="B448" s="32"/>
      <c r="C448" s="32"/>
      <c r="D448" s="31"/>
      <c r="E448" s="31"/>
      <c r="F448" s="31"/>
      <c r="G448" s="31"/>
      <c r="H448" s="33"/>
      <c r="I448" s="34"/>
      <c r="J448" s="35"/>
      <c r="K448" s="35"/>
      <c r="L448" s="35"/>
      <c r="M448" s="35"/>
      <c r="N448" s="35"/>
      <c r="O448" s="35"/>
      <c r="P448" s="35"/>
      <c r="Q448" s="35"/>
      <c r="R448" s="36"/>
    </row>
    <row r="449" spans="1:18" x14ac:dyDescent="0.2">
      <c r="A449" s="31"/>
      <c r="B449" s="32"/>
      <c r="C449" s="32"/>
      <c r="D449" s="31"/>
      <c r="E449" s="31"/>
      <c r="F449" s="31"/>
      <c r="G449" s="31"/>
      <c r="H449" s="33"/>
      <c r="I449" s="34"/>
      <c r="J449" s="35"/>
      <c r="K449" s="35"/>
      <c r="L449" s="35"/>
      <c r="M449" s="35"/>
      <c r="N449" s="35"/>
      <c r="O449" s="35"/>
      <c r="P449" s="35"/>
      <c r="Q449" s="35"/>
      <c r="R449" s="36"/>
    </row>
    <row r="450" spans="1:18" x14ac:dyDescent="0.2">
      <c r="A450" s="31"/>
      <c r="B450" s="32"/>
      <c r="C450" s="32"/>
      <c r="D450" s="31"/>
      <c r="E450" s="31"/>
      <c r="F450" s="31"/>
      <c r="G450" s="31"/>
      <c r="H450" s="33"/>
      <c r="I450" s="34"/>
      <c r="J450" s="35"/>
      <c r="K450" s="35"/>
      <c r="L450" s="35"/>
      <c r="M450" s="35"/>
      <c r="N450" s="35"/>
      <c r="O450" s="35"/>
      <c r="P450" s="35"/>
      <c r="Q450" s="35"/>
      <c r="R450" s="36"/>
    </row>
    <row r="451" spans="1:18" x14ac:dyDescent="0.2">
      <c r="A451" s="31"/>
      <c r="B451" s="32"/>
      <c r="C451" s="32"/>
      <c r="D451" s="31"/>
      <c r="E451" s="31"/>
      <c r="F451" s="31"/>
      <c r="G451" s="31"/>
      <c r="H451" s="33"/>
      <c r="I451" s="34"/>
      <c r="J451" s="35"/>
      <c r="K451" s="35"/>
      <c r="L451" s="35"/>
      <c r="M451" s="35"/>
      <c r="N451" s="35"/>
      <c r="O451" s="35"/>
      <c r="P451" s="35"/>
      <c r="Q451" s="35"/>
      <c r="R451" s="36"/>
    </row>
    <row r="452" spans="1:18" x14ac:dyDescent="0.2">
      <c r="A452" s="31"/>
      <c r="B452" s="32"/>
      <c r="C452" s="32"/>
      <c r="D452" s="31"/>
      <c r="E452" s="31"/>
      <c r="F452" s="31"/>
      <c r="G452" s="31"/>
      <c r="H452" s="33"/>
      <c r="I452" s="34"/>
      <c r="J452" s="35"/>
      <c r="K452" s="35"/>
      <c r="L452" s="35"/>
      <c r="M452" s="35"/>
      <c r="N452" s="35"/>
      <c r="O452" s="35"/>
      <c r="P452" s="35"/>
      <c r="Q452" s="35"/>
      <c r="R452" s="36"/>
    </row>
    <row r="453" spans="1:18" x14ac:dyDescent="0.2">
      <c r="A453" s="31"/>
      <c r="B453" s="32"/>
      <c r="C453" s="32"/>
      <c r="D453" s="31"/>
      <c r="E453" s="31"/>
      <c r="F453" s="31"/>
      <c r="G453" s="31"/>
      <c r="H453" s="33"/>
      <c r="I453" s="34"/>
      <c r="J453" s="35"/>
      <c r="K453" s="35"/>
      <c r="L453" s="35"/>
      <c r="M453" s="35"/>
      <c r="N453" s="35"/>
      <c r="O453" s="35"/>
      <c r="P453" s="35"/>
      <c r="Q453" s="35"/>
      <c r="R453" s="36"/>
    </row>
    <row r="454" spans="1:18" x14ac:dyDescent="0.2">
      <c r="A454" s="31"/>
      <c r="B454" s="32"/>
      <c r="C454" s="32"/>
      <c r="D454" s="31"/>
      <c r="E454" s="31"/>
      <c r="F454" s="31"/>
      <c r="G454" s="31"/>
      <c r="H454" s="33"/>
      <c r="I454" s="34"/>
      <c r="J454" s="35"/>
      <c r="K454" s="35"/>
      <c r="L454" s="35"/>
      <c r="M454" s="35"/>
      <c r="N454" s="35"/>
      <c r="O454" s="35"/>
      <c r="P454" s="35"/>
      <c r="Q454" s="35"/>
      <c r="R454" s="36"/>
    </row>
    <row r="455" spans="1:18" x14ac:dyDescent="0.2">
      <c r="A455" s="31"/>
      <c r="B455" s="32"/>
      <c r="C455" s="32"/>
      <c r="D455" s="31"/>
      <c r="E455" s="31"/>
      <c r="F455" s="31"/>
      <c r="G455" s="31"/>
      <c r="H455" s="33"/>
      <c r="I455" s="34"/>
      <c r="J455" s="35"/>
      <c r="K455" s="35"/>
      <c r="L455" s="35"/>
      <c r="M455" s="35"/>
      <c r="N455" s="35"/>
      <c r="O455" s="35"/>
      <c r="P455" s="35"/>
      <c r="Q455" s="35"/>
      <c r="R455" s="36"/>
    </row>
    <row r="456" spans="1:18" x14ac:dyDescent="0.2">
      <c r="A456" s="31"/>
      <c r="B456" s="32"/>
      <c r="C456" s="32"/>
      <c r="D456" s="31"/>
      <c r="E456" s="31"/>
      <c r="F456" s="31"/>
      <c r="G456" s="31"/>
      <c r="H456" s="33"/>
      <c r="I456" s="34"/>
      <c r="J456" s="35"/>
      <c r="K456" s="35"/>
      <c r="L456" s="35"/>
      <c r="M456" s="35"/>
      <c r="N456" s="35"/>
      <c r="O456" s="35"/>
      <c r="P456" s="35"/>
      <c r="Q456" s="35"/>
      <c r="R456" s="36"/>
    </row>
    <row r="457" spans="1:18" x14ac:dyDescent="0.2">
      <c r="A457" s="31"/>
      <c r="B457" s="32"/>
      <c r="C457" s="32"/>
      <c r="D457" s="31"/>
      <c r="E457" s="31"/>
      <c r="F457" s="31"/>
      <c r="G457" s="31"/>
      <c r="H457" s="33"/>
      <c r="I457" s="34"/>
      <c r="J457" s="35"/>
      <c r="K457" s="35"/>
      <c r="L457" s="35"/>
      <c r="M457" s="35"/>
      <c r="N457" s="35"/>
      <c r="O457" s="35"/>
      <c r="P457" s="35"/>
      <c r="Q457" s="35"/>
      <c r="R457" s="36"/>
    </row>
    <row r="458" spans="1:18" x14ac:dyDescent="0.2">
      <c r="A458" s="31"/>
      <c r="B458" s="32"/>
      <c r="C458" s="32"/>
      <c r="D458" s="31"/>
      <c r="E458" s="31"/>
      <c r="F458" s="31"/>
      <c r="G458" s="31"/>
      <c r="H458" s="33"/>
      <c r="I458" s="34"/>
      <c r="J458" s="35"/>
      <c r="K458" s="35"/>
      <c r="L458" s="35"/>
      <c r="M458" s="35"/>
      <c r="N458" s="35"/>
      <c r="O458" s="35"/>
      <c r="P458" s="35"/>
      <c r="Q458" s="35"/>
      <c r="R458" s="36"/>
    </row>
    <row r="459" spans="1:18" x14ac:dyDescent="0.2">
      <c r="A459" s="31"/>
      <c r="B459" s="32"/>
      <c r="C459" s="32"/>
      <c r="D459" s="31"/>
      <c r="E459" s="31"/>
      <c r="F459" s="31"/>
      <c r="G459" s="31"/>
      <c r="H459" s="33"/>
      <c r="I459" s="34"/>
      <c r="J459" s="35"/>
      <c r="K459" s="35"/>
      <c r="L459" s="35"/>
      <c r="M459" s="35"/>
      <c r="N459" s="35"/>
      <c r="O459" s="35"/>
      <c r="P459" s="35"/>
      <c r="Q459" s="35"/>
      <c r="R459" s="36"/>
    </row>
    <row r="460" spans="1:18" x14ac:dyDescent="0.2">
      <c r="A460" s="31"/>
      <c r="B460" s="32"/>
      <c r="C460" s="32"/>
      <c r="D460" s="31"/>
      <c r="E460" s="31"/>
      <c r="F460" s="31"/>
      <c r="G460" s="31"/>
      <c r="H460" s="33"/>
      <c r="I460" s="34"/>
      <c r="J460" s="35"/>
      <c r="K460" s="35"/>
      <c r="L460" s="35"/>
      <c r="M460" s="35"/>
      <c r="N460" s="35"/>
      <c r="O460" s="35"/>
      <c r="P460" s="35"/>
      <c r="Q460" s="35"/>
      <c r="R460" s="36"/>
    </row>
  </sheetData>
  <autoFilter ref="A7:R427">
    <filterColumn colId="3" showButton="0"/>
    <filterColumn colId="4" showButton="0"/>
    <filterColumn colId="5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215">
    <mergeCell ref="B140:B145"/>
    <mergeCell ref="A417:B421"/>
    <mergeCell ref="R417:R421"/>
    <mergeCell ref="A422:B427"/>
    <mergeCell ref="R422:R427"/>
    <mergeCell ref="A409:B414"/>
    <mergeCell ref="R409:R414"/>
    <mergeCell ref="R415:R416"/>
    <mergeCell ref="A415:B416"/>
    <mergeCell ref="A397:A402"/>
    <mergeCell ref="B397:B402"/>
    <mergeCell ref="R397:R402"/>
    <mergeCell ref="A403:A408"/>
    <mergeCell ref="B403:B408"/>
    <mergeCell ref="R403:R408"/>
    <mergeCell ref="A385:A390"/>
    <mergeCell ref="B385:B390"/>
    <mergeCell ref="R385:R390"/>
    <mergeCell ref="A391:A396"/>
    <mergeCell ref="B391:B396"/>
    <mergeCell ref="R391:R396"/>
    <mergeCell ref="A384:B384"/>
    <mergeCell ref="A352:B352"/>
    <mergeCell ref="A353:A358"/>
    <mergeCell ref="B353:B358"/>
    <mergeCell ref="R353:R358"/>
    <mergeCell ref="A371:B371"/>
    <mergeCell ref="A372:A377"/>
    <mergeCell ref="B372:B377"/>
    <mergeCell ref="R372:R377"/>
    <mergeCell ref="A378:B383"/>
    <mergeCell ref="R378:R383"/>
    <mergeCell ref="A327:A332"/>
    <mergeCell ref="B327:B332"/>
    <mergeCell ref="R327:R332"/>
    <mergeCell ref="A333:B338"/>
    <mergeCell ref="R333:R338"/>
    <mergeCell ref="A359:A364"/>
    <mergeCell ref="B359:B364"/>
    <mergeCell ref="R359:R364"/>
    <mergeCell ref="A365:B370"/>
    <mergeCell ref="R365:R370"/>
    <mergeCell ref="A339:B339"/>
    <mergeCell ref="A340:A345"/>
    <mergeCell ref="B340:B345"/>
    <mergeCell ref="R340:R345"/>
    <mergeCell ref="A346:B351"/>
    <mergeCell ref="R346:R351"/>
    <mergeCell ref="A314:A319"/>
    <mergeCell ref="B314:B319"/>
    <mergeCell ref="R314:R319"/>
    <mergeCell ref="A320:B325"/>
    <mergeCell ref="R320:R325"/>
    <mergeCell ref="A326:B326"/>
    <mergeCell ref="A302:A307"/>
    <mergeCell ref="B302:B307"/>
    <mergeCell ref="R302:R307"/>
    <mergeCell ref="A308:A313"/>
    <mergeCell ref="B308:B313"/>
    <mergeCell ref="R308:R313"/>
    <mergeCell ref="A289:A294"/>
    <mergeCell ref="B289:B294"/>
    <mergeCell ref="R289:R294"/>
    <mergeCell ref="A295:B300"/>
    <mergeCell ref="R295:R300"/>
    <mergeCell ref="A301:B301"/>
    <mergeCell ref="A277:A282"/>
    <mergeCell ref="B277:B282"/>
    <mergeCell ref="R277:R282"/>
    <mergeCell ref="A283:A288"/>
    <mergeCell ref="B283:B288"/>
    <mergeCell ref="R283:R288"/>
    <mergeCell ref="A265:A270"/>
    <mergeCell ref="B265:B270"/>
    <mergeCell ref="R265:R270"/>
    <mergeCell ref="A271:A276"/>
    <mergeCell ref="B271:B276"/>
    <mergeCell ref="R271:R276"/>
    <mergeCell ref="A252:B257"/>
    <mergeCell ref="R252:R257"/>
    <mergeCell ref="A258:B258"/>
    <mergeCell ref="A259:A264"/>
    <mergeCell ref="B259:B264"/>
    <mergeCell ref="R259:R264"/>
    <mergeCell ref="A239:B244"/>
    <mergeCell ref="R239:R244"/>
    <mergeCell ref="A245:B245"/>
    <mergeCell ref="A246:A251"/>
    <mergeCell ref="B246:B251"/>
    <mergeCell ref="R246:R251"/>
    <mergeCell ref="A226:B231"/>
    <mergeCell ref="R226:R231"/>
    <mergeCell ref="A232:B232"/>
    <mergeCell ref="A233:A238"/>
    <mergeCell ref="B233:B238"/>
    <mergeCell ref="R233:R238"/>
    <mergeCell ref="A214:A219"/>
    <mergeCell ref="B214:B219"/>
    <mergeCell ref="R214:R219"/>
    <mergeCell ref="A220:A225"/>
    <mergeCell ref="B220:B225"/>
    <mergeCell ref="R220:R225"/>
    <mergeCell ref="A183:A188"/>
    <mergeCell ref="B183:B188"/>
    <mergeCell ref="R183:R188"/>
    <mergeCell ref="A207:B212"/>
    <mergeCell ref="R207:R213"/>
    <mergeCell ref="A213:B213"/>
    <mergeCell ref="A189:A194"/>
    <mergeCell ref="B189:B194"/>
    <mergeCell ref="R189:R194"/>
    <mergeCell ref="A195:A200"/>
    <mergeCell ref="B195:B200"/>
    <mergeCell ref="R195:R200"/>
    <mergeCell ref="A201:A206"/>
    <mergeCell ref="B201:B206"/>
    <mergeCell ref="R201:R206"/>
    <mergeCell ref="A171:A176"/>
    <mergeCell ref="B171:B176"/>
    <mergeCell ref="R171:R176"/>
    <mergeCell ref="A177:A182"/>
    <mergeCell ref="B177:B182"/>
    <mergeCell ref="R177:R182"/>
    <mergeCell ref="A159:A164"/>
    <mergeCell ref="B159:B164"/>
    <mergeCell ref="R159:R164"/>
    <mergeCell ref="A165:A170"/>
    <mergeCell ref="B165:B170"/>
    <mergeCell ref="R165:R170"/>
    <mergeCell ref="A97:A102"/>
    <mergeCell ref="B97:B102"/>
    <mergeCell ref="R97:R102"/>
    <mergeCell ref="A109:B114"/>
    <mergeCell ref="R109:R114"/>
    <mergeCell ref="A115:B115"/>
    <mergeCell ref="R115:R121"/>
    <mergeCell ref="A116:A121"/>
    <mergeCell ref="B116:B121"/>
    <mergeCell ref="A122:A127"/>
    <mergeCell ref="B122:B127"/>
    <mergeCell ref="A103:A108"/>
    <mergeCell ref="B103:B108"/>
    <mergeCell ref="R103:R108"/>
    <mergeCell ref="A128:A133"/>
    <mergeCell ref="B128:B133"/>
    <mergeCell ref="A134:A139"/>
    <mergeCell ref="B134:B139"/>
    <mergeCell ref="A153:A158"/>
    <mergeCell ref="B153:B158"/>
    <mergeCell ref="A140:A145"/>
    <mergeCell ref="A35:A40"/>
    <mergeCell ref="B35:B40"/>
    <mergeCell ref="R35:R40"/>
    <mergeCell ref="A41:A46"/>
    <mergeCell ref="B41:B46"/>
    <mergeCell ref="R41:R46"/>
    <mergeCell ref="A85:A90"/>
    <mergeCell ref="B85:B90"/>
    <mergeCell ref="R85:R90"/>
    <mergeCell ref="A72:A77"/>
    <mergeCell ref="B72:B77"/>
    <mergeCell ref="R72:R77"/>
    <mergeCell ref="A78:B83"/>
    <mergeCell ref="R78:R83"/>
    <mergeCell ref="A84:B84"/>
    <mergeCell ref="A47:A52"/>
    <mergeCell ref="B47:B52"/>
    <mergeCell ref="R47:R52"/>
    <mergeCell ref="A59:B64"/>
    <mergeCell ref="R59:R64"/>
    <mergeCell ref="A65:B65"/>
    <mergeCell ref="A66:A71"/>
    <mergeCell ref="B66:B71"/>
    <mergeCell ref="R66:R71"/>
    <mergeCell ref="P8:Q8"/>
    <mergeCell ref="A23:A28"/>
    <mergeCell ref="B23:B28"/>
    <mergeCell ref="R23:R28"/>
    <mergeCell ref="A29:A34"/>
    <mergeCell ref="B29:B34"/>
    <mergeCell ref="R29:R34"/>
    <mergeCell ref="A10:B10"/>
    <mergeCell ref="A11:A16"/>
    <mergeCell ref="B11:B16"/>
    <mergeCell ref="R11:R16"/>
    <mergeCell ref="A17:A22"/>
    <mergeCell ref="B17:B22"/>
    <mergeCell ref="R17:R22"/>
    <mergeCell ref="A53:A58"/>
    <mergeCell ref="B53:B58"/>
    <mergeCell ref="R53:R58"/>
    <mergeCell ref="A91:A96"/>
    <mergeCell ref="B91:B96"/>
    <mergeCell ref="R91:R96"/>
    <mergeCell ref="A146:B151"/>
    <mergeCell ref="R146:R151"/>
    <mergeCell ref="A152:B152"/>
    <mergeCell ref="K1:Q1"/>
    <mergeCell ref="K2:Q2"/>
    <mergeCell ref="K3:Q3"/>
    <mergeCell ref="A5:Q5"/>
    <mergeCell ref="A7:A9"/>
    <mergeCell ref="B7:B9"/>
    <mergeCell ref="C7:C9"/>
    <mergeCell ref="D7:G8"/>
    <mergeCell ref="H7:H9"/>
    <mergeCell ref="I7:I9"/>
    <mergeCell ref="J7:M7"/>
    <mergeCell ref="N7:Q7"/>
    <mergeCell ref="R7:R9"/>
    <mergeCell ref="J8:J9"/>
    <mergeCell ref="K8:K9"/>
    <mergeCell ref="L8:L9"/>
    <mergeCell ref="M8:M9"/>
    <mergeCell ref="N8:O8"/>
  </mergeCells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headerFooter>
    <oddFooter>Страница &amp;P</oddFooter>
  </headerFooter>
  <rowBreaks count="6" manualBreakCount="6">
    <brk id="64" max="16" man="1"/>
    <brk id="121" max="16" man="1"/>
    <brk id="182" max="16" man="1"/>
    <brk id="257" max="16" man="1"/>
    <brk id="325" max="16" man="1"/>
    <brk id="396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0"/>
  <sheetViews>
    <sheetView topLeftCell="G1" zoomScale="60" zoomScaleNormal="60" workbookViewId="0">
      <pane ySplit="4" topLeftCell="A5" activePane="bottomLeft" state="frozen"/>
      <selection pane="bottomLeft" activeCell="Q8" sqref="Q8"/>
    </sheetView>
  </sheetViews>
  <sheetFormatPr defaultColWidth="9.140625" defaultRowHeight="18.75" outlineLevelRow="1" x14ac:dyDescent="0.3"/>
  <cols>
    <col min="1" max="1" width="8" style="105" customWidth="1"/>
    <col min="2" max="2" width="77.7109375" style="105" customWidth="1"/>
    <col min="3" max="3" width="22.140625" style="105" customWidth="1"/>
    <col min="4" max="4" width="25.7109375" style="105" customWidth="1"/>
    <col min="5" max="5" width="24" style="105" customWidth="1"/>
    <col min="6" max="6" width="25.7109375" style="105" customWidth="1"/>
    <col min="7" max="7" width="26.7109375" style="105" customWidth="1"/>
    <col min="8" max="8" width="24.28515625" style="105" customWidth="1"/>
    <col min="9" max="9" width="25.85546875" style="105" customWidth="1"/>
    <col min="10" max="11" width="25" style="105" customWidth="1"/>
    <col min="12" max="12" width="26.140625" style="105" customWidth="1"/>
    <col min="13" max="13" width="22" style="105" customWidth="1"/>
    <col min="14" max="17" width="24.28515625" style="105" customWidth="1"/>
    <col min="18" max="18" width="77.42578125" style="105" customWidth="1"/>
    <col min="19" max="19" width="23.140625" style="109" customWidth="1"/>
    <col min="20" max="25" width="26.42578125" style="105" hidden="1" customWidth="1"/>
    <col min="26" max="16384" width="9.140625" style="105"/>
  </cols>
  <sheetData>
    <row r="1" spans="1:25" ht="52.5" customHeight="1" x14ac:dyDescent="0.3">
      <c r="A1" s="530" t="s">
        <v>121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103">
        <f>[3]Порошкино!$F$48*1000</f>
        <v>1509.72</v>
      </c>
      <c r="U1" s="104">
        <f>-[3]Лист1!$AQ$18</f>
        <v>323.47771141047764</v>
      </c>
      <c r="V1" s="105">
        <v>50</v>
      </c>
      <c r="Y1" s="106" t="s">
        <v>122</v>
      </c>
    </row>
    <row r="2" spans="1:25" ht="42.75" customHeight="1" x14ac:dyDescent="0.3">
      <c r="A2" s="531" t="s">
        <v>123</v>
      </c>
      <c r="B2" s="530" t="s">
        <v>124</v>
      </c>
      <c r="C2" s="532" t="s">
        <v>125</v>
      </c>
      <c r="D2" s="533"/>
      <c r="E2" s="533"/>
      <c r="F2" s="534"/>
      <c r="G2" s="531" t="s">
        <v>18</v>
      </c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131" t="s">
        <v>156</v>
      </c>
      <c r="S2" s="535" t="s">
        <v>167</v>
      </c>
      <c r="T2" s="528" t="s">
        <v>126</v>
      </c>
      <c r="U2" s="528" t="s">
        <v>127</v>
      </c>
      <c r="V2" s="528" t="s">
        <v>128</v>
      </c>
      <c r="W2" s="528" t="s">
        <v>129</v>
      </c>
      <c r="X2" s="528" t="s">
        <v>130</v>
      </c>
      <c r="Y2" s="528" t="s">
        <v>131</v>
      </c>
    </row>
    <row r="3" spans="1:25" ht="86.25" customHeight="1" x14ac:dyDescent="0.3">
      <c r="A3" s="531"/>
      <c r="B3" s="530"/>
      <c r="C3" s="288" t="s">
        <v>132</v>
      </c>
      <c r="D3" s="131" t="s">
        <v>133</v>
      </c>
      <c r="E3" s="131" t="s">
        <v>134</v>
      </c>
      <c r="F3" s="131" t="s">
        <v>50</v>
      </c>
      <c r="G3" s="532" t="s">
        <v>1</v>
      </c>
      <c r="H3" s="533"/>
      <c r="I3" s="533"/>
      <c r="J3" s="533"/>
      <c r="K3" s="534"/>
      <c r="L3" s="532" t="s">
        <v>2</v>
      </c>
      <c r="M3" s="533"/>
      <c r="N3" s="533"/>
      <c r="O3" s="533"/>
      <c r="P3" s="534"/>
      <c r="Q3" s="125" t="s">
        <v>3</v>
      </c>
      <c r="R3" s="131"/>
      <c r="S3" s="536"/>
      <c r="T3" s="529"/>
      <c r="U3" s="529"/>
      <c r="V3" s="529"/>
      <c r="W3" s="529"/>
      <c r="X3" s="529"/>
      <c r="Y3" s="529"/>
    </row>
    <row r="4" spans="1:25" ht="25.5" customHeight="1" x14ac:dyDescent="0.3">
      <c r="A4" s="125"/>
      <c r="B4" s="131"/>
      <c r="C4" s="125"/>
      <c r="D4" s="131"/>
      <c r="E4" s="131"/>
      <c r="F4" s="131"/>
      <c r="G4" s="125">
        <v>2020</v>
      </c>
      <c r="H4" s="125">
        <v>2021</v>
      </c>
      <c r="I4" s="125">
        <v>2022</v>
      </c>
      <c r="J4" s="125">
        <v>2023</v>
      </c>
      <c r="K4" s="289">
        <v>2024</v>
      </c>
      <c r="L4" s="125">
        <v>2020</v>
      </c>
      <c r="M4" s="125">
        <v>2021</v>
      </c>
      <c r="N4" s="125">
        <v>2022</v>
      </c>
      <c r="O4" s="125">
        <v>2023</v>
      </c>
      <c r="P4" s="289">
        <v>2024</v>
      </c>
      <c r="Q4" s="125"/>
      <c r="R4" s="131"/>
      <c r="S4" s="223"/>
      <c r="T4" s="107"/>
      <c r="U4" s="107"/>
      <c r="V4" s="107"/>
      <c r="W4" s="107"/>
      <c r="X4" s="107"/>
      <c r="Y4" s="107"/>
    </row>
    <row r="5" spans="1:25" ht="30" customHeight="1" x14ac:dyDescent="0.3">
      <c r="A5" s="538" t="s">
        <v>5</v>
      </c>
      <c r="B5" s="538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3"/>
      <c r="T5" s="107"/>
      <c r="U5" s="107"/>
      <c r="V5" s="107"/>
      <c r="W5" s="107"/>
      <c r="X5" s="107"/>
      <c r="Y5" s="107"/>
    </row>
    <row r="6" spans="1:25" ht="71.25" customHeight="1" x14ac:dyDescent="0.3">
      <c r="A6" s="225">
        <v>1</v>
      </c>
      <c r="B6" s="226" t="s">
        <v>135</v>
      </c>
      <c r="C6" s="227">
        <v>0.5</v>
      </c>
      <c r="D6" s="225">
        <v>995</v>
      </c>
      <c r="E6" s="225">
        <v>1395.19</v>
      </c>
      <c r="F6" s="228">
        <v>3.27</v>
      </c>
      <c r="G6" s="229"/>
      <c r="H6" s="229"/>
      <c r="I6" s="229"/>
      <c r="J6" s="229"/>
      <c r="K6" s="229"/>
      <c r="L6" s="229">
        <f>'2021--2025 кор. 18.03.21'!K11</f>
        <v>0</v>
      </c>
      <c r="M6" s="230"/>
      <c r="N6" s="230"/>
      <c r="O6" s="230"/>
      <c r="P6" s="230"/>
      <c r="Q6" s="231">
        <f>SUM(G6:O6)</f>
        <v>0</v>
      </c>
      <c r="R6" s="232"/>
      <c r="S6" s="232"/>
      <c r="T6" s="108">
        <f>$T$1*F6</f>
        <v>4936.7844000000005</v>
      </c>
      <c r="U6" s="108">
        <f>$U$1*C6</f>
        <v>161.73885570523882</v>
      </c>
      <c r="V6" s="108">
        <f>Q6/$V$1</f>
        <v>0</v>
      </c>
      <c r="W6" s="108">
        <f>Q6*0.022</f>
        <v>0</v>
      </c>
      <c r="X6" s="108">
        <f>U6+V6+W6</f>
        <v>161.73885570523882</v>
      </c>
      <c r="Y6" s="108">
        <f>T6-X6</f>
        <v>4775.0455442947614</v>
      </c>
    </row>
    <row r="7" spans="1:25" ht="64.5" customHeight="1" x14ac:dyDescent="0.3">
      <c r="A7" s="225">
        <v>2</v>
      </c>
      <c r="B7" s="226" t="s">
        <v>136</v>
      </c>
      <c r="C7" s="227">
        <v>1.55</v>
      </c>
      <c r="D7" s="233">
        <v>298</v>
      </c>
      <c r="E7" s="225">
        <v>1157</v>
      </c>
      <c r="F7" s="225">
        <v>1.72</v>
      </c>
      <c r="G7" s="229"/>
      <c r="H7" s="229"/>
      <c r="I7" s="229"/>
      <c r="J7" s="229"/>
      <c r="K7" s="229"/>
      <c r="L7" s="229">
        <f>'2021--2025 кор. 18.03.21'!K18</f>
        <v>0</v>
      </c>
      <c r="M7" s="230"/>
      <c r="N7" s="230"/>
      <c r="O7" s="230"/>
      <c r="P7" s="230"/>
      <c r="Q7" s="231">
        <f>SUM(G7:O7)</f>
        <v>0</v>
      </c>
      <c r="R7" s="232"/>
      <c r="S7" s="234"/>
      <c r="T7" s="109"/>
      <c r="U7" s="109"/>
      <c r="V7" s="109"/>
      <c r="W7" s="109"/>
      <c r="X7" s="109"/>
      <c r="Y7" s="109"/>
    </row>
    <row r="8" spans="1:25" s="110" customFormat="1" ht="65.25" customHeight="1" x14ac:dyDescent="0.3">
      <c r="A8" s="225">
        <v>3</v>
      </c>
      <c r="B8" s="226" t="s">
        <v>137</v>
      </c>
      <c r="C8" s="227">
        <v>5.5</v>
      </c>
      <c r="D8" s="233">
        <v>2462</v>
      </c>
      <c r="E8" s="225">
        <v>4183.07</v>
      </c>
      <c r="F8" s="225">
        <v>8.5299999999999994</v>
      </c>
      <c r="G8" s="229">
        <f>'2021--2025 кор. 18.03.21'!J24</f>
        <v>0</v>
      </c>
      <c r="H8" s="229"/>
      <c r="I8" s="229"/>
      <c r="J8" s="229"/>
      <c r="K8" s="229"/>
      <c r="L8" s="229">
        <f>'2021--2025 кор. 18.03.21'!K24</f>
        <v>0</v>
      </c>
      <c r="M8" s="230"/>
      <c r="N8" s="230"/>
      <c r="O8" s="230"/>
      <c r="P8" s="230"/>
      <c r="Q8" s="231">
        <f>SUM(G8:O8)</f>
        <v>0</v>
      </c>
      <c r="R8" s="226" t="s">
        <v>171</v>
      </c>
      <c r="S8" s="235">
        <f>Q8-67102.12</f>
        <v>-67102.12</v>
      </c>
      <c r="T8" s="108">
        <f>$T$1*F8</f>
        <v>12877.911599999999</v>
      </c>
      <c r="U8" s="108">
        <f>$U$1*C8</f>
        <v>1779.1274127576271</v>
      </c>
      <c r="V8" s="108">
        <f t="shared" ref="V8:V9" si="0">Q8/$V$1</f>
        <v>0</v>
      </c>
      <c r="W8" s="108">
        <f t="shared" ref="W8:W9" si="1">Q8*0.022</f>
        <v>0</v>
      </c>
      <c r="X8" s="108">
        <f t="shared" ref="X8:X9" si="2">U8+V8+W8</f>
        <v>1779.1274127576271</v>
      </c>
      <c r="Y8" s="108">
        <f t="shared" ref="Y8:Y9" si="3">T8-X8</f>
        <v>11098.784187242372</v>
      </c>
    </row>
    <row r="9" spans="1:25" s="111" customFormat="1" ht="86.25" customHeight="1" x14ac:dyDescent="0.3">
      <c r="A9" s="225">
        <v>4</v>
      </c>
      <c r="B9" s="226" t="s">
        <v>138</v>
      </c>
      <c r="C9" s="227">
        <v>12.379999999999999</v>
      </c>
      <c r="D9" s="233">
        <v>622</v>
      </c>
      <c r="E9" s="236">
        <v>1423.2439999999999</v>
      </c>
      <c r="F9" s="236">
        <v>3.3370000000000002</v>
      </c>
      <c r="G9" s="229">
        <f>'[4]2019 г'!J36</f>
        <v>0</v>
      </c>
      <c r="H9" s="229"/>
      <c r="I9" s="229">
        <f>'2021--2025 кор. 18.03.21'!J32</f>
        <v>0</v>
      </c>
      <c r="J9" s="229"/>
      <c r="K9" s="229"/>
      <c r="L9" s="229"/>
      <c r="M9" s="230">
        <f>'[4]2019 г'!K37</f>
        <v>0</v>
      </c>
      <c r="N9" s="230">
        <f>'2021--2025 кор. 18.03.21'!K32</f>
        <v>0</v>
      </c>
      <c r="O9" s="230">
        <f>'2021--2025 кор. 18.03.21'!K33</f>
        <v>0</v>
      </c>
      <c r="P9" s="230"/>
      <c r="Q9" s="231">
        <f>SUM(G9:O9)</f>
        <v>0</v>
      </c>
      <c r="R9" s="226" t="s">
        <v>155</v>
      </c>
      <c r="S9" s="235">
        <f>Q9-57858</f>
        <v>-57858</v>
      </c>
      <c r="T9" s="108">
        <f>$T$1*F9</f>
        <v>5037.9356400000006</v>
      </c>
      <c r="U9" s="108">
        <f>$U$1*C9</f>
        <v>4004.654067261713</v>
      </c>
      <c r="V9" s="108">
        <f t="shared" si="0"/>
        <v>0</v>
      </c>
      <c r="W9" s="108">
        <f t="shared" si="1"/>
        <v>0</v>
      </c>
      <c r="X9" s="108">
        <f t="shared" si="2"/>
        <v>4004.654067261713</v>
      </c>
      <c r="Y9" s="108">
        <f t="shared" si="3"/>
        <v>1033.2815727382877</v>
      </c>
    </row>
    <row r="10" spans="1:25" s="111" customFormat="1" ht="96" customHeight="1" x14ac:dyDescent="0.3">
      <c r="A10" s="225">
        <v>6</v>
      </c>
      <c r="B10" s="226" t="s">
        <v>103</v>
      </c>
      <c r="C10" s="227">
        <v>0.5</v>
      </c>
      <c r="D10" s="237">
        <v>220</v>
      </c>
      <c r="E10" s="236">
        <v>1100</v>
      </c>
      <c r="F10" s="236">
        <v>2.89</v>
      </c>
      <c r="G10" s="229"/>
      <c r="H10" s="229">
        <f>'2021--2025 кор. 18.03.21'!J43</f>
        <v>0</v>
      </c>
      <c r="I10" s="229"/>
      <c r="J10" s="229"/>
      <c r="K10" s="229"/>
      <c r="L10" s="229"/>
      <c r="M10" s="230">
        <f>'2021--2025 кор. 18.03.21'!K43</f>
        <v>0</v>
      </c>
      <c r="N10" s="230"/>
      <c r="O10" s="230"/>
      <c r="P10" s="230"/>
      <c r="Q10" s="231">
        <f>SUM(G10:O10)</f>
        <v>0</v>
      </c>
      <c r="R10" s="226"/>
      <c r="S10" s="234"/>
      <c r="T10" s="112"/>
      <c r="U10" s="112"/>
      <c r="V10" s="112"/>
      <c r="W10" s="112"/>
      <c r="X10" s="112"/>
      <c r="Y10" s="112"/>
    </row>
    <row r="11" spans="1:25" ht="22.5" customHeight="1" x14ac:dyDescent="0.3">
      <c r="A11" s="238" t="s">
        <v>139</v>
      </c>
      <c r="B11" s="239" t="s">
        <v>29</v>
      </c>
      <c r="C11" s="240">
        <f t="shared" ref="C11:J11" si="4">SUM(C6:C10)</f>
        <v>20.43</v>
      </c>
      <c r="D11" s="240">
        <f t="shared" si="4"/>
        <v>4597</v>
      </c>
      <c r="E11" s="240">
        <f t="shared" si="4"/>
        <v>9258.5040000000008</v>
      </c>
      <c r="F11" s="240">
        <f t="shared" si="4"/>
        <v>19.747</v>
      </c>
      <c r="G11" s="240">
        <f t="shared" si="4"/>
        <v>0</v>
      </c>
      <c r="H11" s="240">
        <f t="shared" si="4"/>
        <v>0</v>
      </c>
      <c r="I11" s="240">
        <f t="shared" si="4"/>
        <v>0</v>
      </c>
      <c r="J11" s="240">
        <f t="shared" si="4"/>
        <v>0</v>
      </c>
      <c r="K11" s="240"/>
      <c r="L11" s="240">
        <f>SUM(L6:L10)</f>
        <v>0</v>
      </c>
      <c r="M11" s="240">
        <f>SUM(M6:M10)</f>
        <v>0</v>
      </c>
      <c r="N11" s="240">
        <f>SUM(N6:N10)</f>
        <v>0</v>
      </c>
      <c r="O11" s="240">
        <f>SUM(O6:O10)</f>
        <v>0</v>
      </c>
      <c r="P11" s="240"/>
      <c r="Q11" s="240">
        <f>SUM(Q6:Q10)</f>
        <v>0</v>
      </c>
      <c r="R11" s="241"/>
      <c r="S11" s="242"/>
    </row>
    <row r="12" spans="1:25" ht="26.25" customHeight="1" x14ac:dyDescent="0.3">
      <c r="A12" s="539" t="s">
        <v>6</v>
      </c>
      <c r="B12" s="539"/>
      <c r="C12" s="243"/>
      <c r="D12" s="243"/>
      <c r="E12" s="243"/>
      <c r="F12" s="243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24"/>
      <c r="S12" s="242"/>
    </row>
    <row r="13" spans="1:25" ht="136.5" customHeight="1" x14ac:dyDescent="0.3">
      <c r="A13" s="225">
        <v>7</v>
      </c>
      <c r="B13" s="232" t="s">
        <v>140</v>
      </c>
      <c r="C13" s="227">
        <v>20.3</v>
      </c>
      <c r="D13" s="225">
        <v>386</v>
      </c>
      <c r="E13" s="236">
        <v>541.27</v>
      </c>
      <c r="F13" s="236">
        <v>5.5</v>
      </c>
      <c r="G13" s="230">
        <f>'2021--2025 кор. 18.03.21'!J67</f>
        <v>0</v>
      </c>
      <c r="H13" s="230"/>
      <c r="I13" s="230"/>
      <c r="J13" s="230"/>
      <c r="K13" s="230"/>
      <c r="L13" s="230">
        <f>'2021--2025 кор. 18.03.21'!K67</f>
        <v>0</v>
      </c>
      <c r="M13" s="230">
        <f>'2021--2025 кор. 18.03.21'!K68</f>
        <v>0</v>
      </c>
      <c r="N13" s="230"/>
      <c r="O13" s="230"/>
      <c r="P13" s="230"/>
      <c r="Q13" s="230">
        <f>SUM(G13:O13)</f>
        <v>0</v>
      </c>
      <c r="R13" s="226" t="s">
        <v>172</v>
      </c>
      <c r="S13" s="245">
        <f>Q13-81332.35</f>
        <v>-81332.350000000006</v>
      </c>
      <c r="T13" s="108">
        <f>$T$1*F13</f>
        <v>8303.4600000000009</v>
      </c>
      <c r="U13" s="108">
        <f>$U$1*C13</f>
        <v>6566.5975416326964</v>
      </c>
      <c r="V13" s="108">
        <f t="shared" ref="V13" si="5">Q13/$V$1</f>
        <v>0</v>
      </c>
      <c r="W13" s="108">
        <f t="shared" ref="W13" si="6">Q13*0.022</f>
        <v>0</v>
      </c>
      <c r="X13" s="108">
        <f t="shared" ref="X13" si="7">U13+V13+W13</f>
        <v>6566.5975416326964</v>
      </c>
      <c r="Y13" s="108">
        <f t="shared" ref="Y13" si="8">T13-X13</f>
        <v>1736.8624583673045</v>
      </c>
    </row>
    <row r="14" spans="1:25" ht="152.25" customHeight="1" x14ac:dyDescent="0.3">
      <c r="A14" s="225">
        <v>8</v>
      </c>
      <c r="B14" s="232" t="s">
        <v>141</v>
      </c>
      <c r="C14" s="227">
        <v>10.7</v>
      </c>
      <c r="D14" s="236">
        <v>359</v>
      </c>
      <c r="E14" s="236">
        <v>541.27</v>
      </c>
      <c r="F14" s="236">
        <v>5.5</v>
      </c>
      <c r="G14" s="230">
        <f>'2021--2025 кор. 18.03.21'!J73</f>
        <v>0</v>
      </c>
      <c r="H14" s="230"/>
      <c r="I14" s="230"/>
      <c r="J14" s="230"/>
      <c r="K14" s="230"/>
      <c r="L14" s="230">
        <f>'2021--2025 кор. 18.03.21'!K73</f>
        <v>0</v>
      </c>
      <c r="M14" s="230">
        <f>'2021--2025 кор. 18.03.21'!K74</f>
        <v>0</v>
      </c>
      <c r="N14" s="230"/>
      <c r="O14" s="230"/>
      <c r="P14" s="230"/>
      <c r="Q14" s="230">
        <f>SUM(G14:O14)</f>
        <v>0</v>
      </c>
      <c r="R14" s="226" t="s">
        <v>173</v>
      </c>
      <c r="S14" s="245">
        <f>Q14-41262.15</f>
        <v>-41262.15</v>
      </c>
      <c r="T14" s="108"/>
      <c r="U14" s="108"/>
      <c r="V14" s="108"/>
      <c r="W14" s="108"/>
      <c r="X14" s="108"/>
      <c r="Y14" s="108"/>
    </row>
    <row r="15" spans="1:25" ht="20.25" customHeight="1" x14ac:dyDescent="0.3">
      <c r="A15" s="238"/>
      <c r="B15" s="239" t="s">
        <v>29</v>
      </c>
      <c r="C15" s="240">
        <f>SUM(C13:C14)</f>
        <v>31</v>
      </c>
      <c r="D15" s="240">
        <f t="shared" ref="D15:Q15" si="9">SUM(D13:D14)</f>
        <v>745</v>
      </c>
      <c r="E15" s="240">
        <f t="shared" si="9"/>
        <v>1082.54</v>
      </c>
      <c r="F15" s="240">
        <f t="shared" si="9"/>
        <v>11</v>
      </c>
      <c r="G15" s="240">
        <f t="shared" ref="G15:O15" si="10">SUM(G13:G14)</f>
        <v>0</v>
      </c>
      <c r="H15" s="240">
        <f t="shared" si="10"/>
        <v>0</v>
      </c>
      <c r="I15" s="240">
        <f t="shared" si="10"/>
        <v>0</v>
      </c>
      <c r="J15" s="240">
        <f t="shared" si="10"/>
        <v>0</v>
      </c>
      <c r="K15" s="240"/>
      <c r="L15" s="240">
        <f t="shared" si="10"/>
        <v>0</v>
      </c>
      <c r="M15" s="240">
        <f t="shared" si="10"/>
        <v>0</v>
      </c>
      <c r="N15" s="240">
        <f t="shared" si="10"/>
        <v>0</v>
      </c>
      <c r="O15" s="240">
        <f t="shared" si="10"/>
        <v>0</v>
      </c>
      <c r="P15" s="240"/>
      <c r="Q15" s="240">
        <f t="shared" si="9"/>
        <v>0</v>
      </c>
      <c r="R15" s="241"/>
      <c r="S15" s="223"/>
    </row>
    <row r="16" spans="1:25" ht="30" customHeight="1" x14ac:dyDescent="0.3">
      <c r="A16" s="539" t="s">
        <v>14</v>
      </c>
      <c r="B16" s="539"/>
      <c r="C16" s="243"/>
      <c r="D16" s="243"/>
      <c r="E16" s="243"/>
      <c r="F16" s="243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24"/>
      <c r="S16" s="223"/>
    </row>
    <row r="17" spans="1:25" ht="90" customHeight="1" x14ac:dyDescent="0.3">
      <c r="A17" s="246">
        <v>9</v>
      </c>
      <c r="B17" s="232" t="s">
        <v>142</v>
      </c>
      <c r="C17" s="225">
        <v>4</v>
      </c>
      <c r="D17" s="225">
        <v>148</v>
      </c>
      <c r="E17" s="236">
        <v>207.535</v>
      </c>
      <c r="F17" s="236">
        <v>0.4199</v>
      </c>
      <c r="G17" s="230">
        <f>[5]программа!J70</f>
        <v>0</v>
      </c>
      <c r="H17" s="230"/>
      <c r="I17" s="230"/>
      <c r="J17" s="230">
        <f>'2021--2025 кор. 18.03.21'!J89</f>
        <v>0</v>
      </c>
      <c r="K17" s="230"/>
      <c r="L17" s="230">
        <v>0</v>
      </c>
      <c r="M17" s="230">
        <f>[5]программа!K71</f>
        <v>0</v>
      </c>
      <c r="N17" s="230"/>
      <c r="O17" s="230">
        <f>'2021--2025 кор. 18.03.21'!K89</f>
        <v>0</v>
      </c>
      <c r="P17" s="230"/>
      <c r="Q17" s="230">
        <f>SUM(G17:O17)</f>
        <v>0</v>
      </c>
      <c r="R17" s="226" t="s">
        <v>175</v>
      </c>
      <c r="S17" s="247">
        <f>Q17-19825</f>
        <v>-19825</v>
      </c>
      <c r="T17" s="108">
        <f>$T$1*F17</f>
        <v>633.93142799999998</v>
      </c>
      <c r="U17" s="108">
        <f>$U$1*C17</f>
        <v>1293.9108456419106</v>
      </c>
      <c r="V17" s="108">
        <f>Q17/$V$1</f>
        <v>0</v>
      </c>
      <c r="W17" s="108">
        <f>Q17*0.022</f>
        <v>0</v>
      </c>
      <c r="X17" s="108">
        <f>U17+V17+W17</f>
        <v>1293.9108456419106</v>
      </c>
      <c r="Y17" s="108">
        <f>T17-X17</f>
        <v>-659.97941764191057</v>
      </c>
    </row>
    <row r="18" spans="1:25" ht="90" customHeight="1" x14ac:dyDescent="0.3">
      <c r="A18" s="246">
        <v>10</v>
      </c>
      <c r="B18" s="232" t="s">
        <v>143</v>
      </c>
      <c r="C18" s="225">
        <v>14</v>
      </c>
      <c r="D18" s="225">
        <v>2670</v>
      </c>
      <c r="E18" s="225">
        <v>9463.77</v>
      </c>
      <c r="F18" s="225">
        <v>27.48</v>
      </c>
      <c r="G18" s="230">
        <f>'2021--2025 кор. 18.03.21'!J92</f>
        <v>0</v>
      </c>
      <c r="H18" s="230">
        <f>'2021--2025 кор. 18.03.21'!J93</f>
        <v>0</v>
      </c>
      <c r="I18" s="230">
        <f>'[5]2019 г'!J84</f>
        <v>0</v>
      </c>
      <c r="J18" s="230"/>
      <c r="K18" s="230"/>
      <c r="L18" s="230"/>
      <c r="M18" s="230">
        <f>'2021--2025 кор. 18.03.21'!K93</f>
        <v>0</v>
      </c>
      <c r="N18" s="230">
        <f>'2021--2025 кор. 18.03.21'!K94</f>
        <v>0</v>
      </c>
      <c r="O18" s="230"/>
      <c r="P18" s="230"/>
      <c r="Q18" s="230">
        <f>SUM(G18:O18)</f>
        <v>0</v>
      </c>
      <c r="R18" s="226" t="s">
        <v>174</v>
      </c>
      <c r="S18" s="247">
        <f>Q18-57049.55</f>
        <v>-57049.55</v>
      </c>
      <c r="T18" s="108">
        <f>$T$1*F18</f>
        <v>41487.105600000003</v>
      </c>
      <c r="U18" s="108">
        <f>$U$1*C18</f>
        <v>4528.6879597466868</v>
      </c>
      <c r="V18" s="108">
        <f t="shared" ref="V18" si="11">Q18/$V$1</f>
        <v>0</v>
      </c>
      <c r="W18" s="108">
        <f t="shared" ref="W18" si="12">Q18*0.022</f>
        <v>0</v>
      </c>
      <c r="X18" s="108">
        <f t="shared" ref="X18" si="13">U18+V18+W18</f>
        <v>4528.6879597466868</v>
      </c>
      <c r="Y18" s="108">
        <f t="shared" ref="Y18" si="14">T18-X18</f>
        <v>36958.417640253319</v>
      </c>
    </row>
    <row r="19" spans="1:25" s="110" customFormat="1" ht="90" customHeight="1" outlineLevel="1" x14ac:dyDescent="0.3">
      <c r="A19" s="246">
        <v>11</v>
      </c>
      <c r="B19" s="232" t="s">
        <v>154</v>
      </c>
      <c r="C19" s="228">
        <v>6.4</v>
      </c>
      <c r="D19" s="225">
        <v>80</v>
      </c>
      <c r="E19" s="228">
        <v>445.9</v>
      </c>
      <c r="F19" s="228">
        <v>1.88</v>
      </c>
      <c r="G19" s="228">
        <f>'2021--2025 кор. 18.03.21'!J98</f>
        <v>0</v>
      </c>
      <c r="H19" s="228">
        <f>'2021--2025 кор. 18.03.21'!J99</f>
        <v>0</v>
      </c>
      <c r="I19" s="225"/>
      <c r="J19" s="225"/>
      <c r="K19" s="225"/>
      <c r="L19" s="225"/>
      <c r="M19" s="228">
        <f>'2021--2025 кор. 18.03.21'!K99</f>
        <v>0</v>
      </c>
      <c r="N19" s="225"/>
      <c r="O19" s="225"/>
      <c r="P19" s="225"/>
      <c r="Q19" s="248">
        <f>SUM(G19:O19)</f>
        <v>0</v>
      </c>
      <c r="R19" s="226" t="s">
        <v>176</v>
      </c>
      <c r="S19" s="249">
        <f>Q19-16308</f>
        <v>-16308</v>
      </c>
      <c r="T19" s="113"/>
      <c r="U19" s="113"/>
      <c r="V19" s="113"/>
      <c r="W19" s="113"/>
      <c r="X19" s="113"/>
      <c r="Y19" s="113"/>
    </row>
    <row r="20" spans="1:25" ht="20.25" x14ac:dyDescent="0.3">
      <c r="A20" s="238"/>
      <c r="B20" s="239" t="s">
        <v>29</v>
      </c>
      <c r="C20" s="250">
        <f t="shared" ref="C20:Q20" si="15">SUM(C17:C19)</f>
        <v>24.4</v>
      </c>
      <c r="D20" s="250">
        <f t="shared" si="15"/>
        <v>2898</v>
      </c>
      <c r="E20" s="250">
        <f t="shared" si="15"/>
        <v>10117.205</v>
      </c>
      <c r="F20" s="250">
        <f t="shared" si="15"/>
        <v>29.779899999999998</v>
      </c>
      <c r="G20" s="250">
        <f t="shared" si="15"/>
        <v>0</v>
      </c>
      <c r="H20" s="250">
        <f t="shared" si="15"/>
        <v>0</v>
      </c>
      <c r="I20" s="250">
        <f t="shared" si="15"/>
        <v>0</v>
      </c>
      <c r="J20" s="250">
        <f t="shared" si="15"/>
        <v>0</v>
      </c>
      <c r="K20" s="250"/>
      <c r="L20" s="250">
        <f t="shared" si="15"/>
        <v>0</v>
      </c>
      <c r="M20" s="250">
        <f t="shared" si="15"/>
        <v>0</v>
      </c>
      <c r="N20" s="250">
        <f t="shared" si="15"/>
        <v>0</v>
      </c>
      <c r="O20" s="250">
        <f t="shared" si="15"/>
        <v>0</v>
      </c>
      <c r="P20" s="250"/>
      <c r="Q20" s="250">
        <f t="shared" si="15"/>
        <v>0</v>
      </c>
      <c r="R20" s="241"/>
      <c r="S20" s="223"/>
    </row>
    <row r="21" spans="1:25" ht="30.75" customHeight="1" x14ac:dyDescent="0.3">
      <c r="A21" s="538" t="s">
        <v>7</v>
      </c>
      <c r="B21" s="538"/>
      <c r="C21" s="252"/>
      <c r="D21" s="252"/>
      <c r="E21" s="252"/>
      <c r="F21" s="25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  <c r="S21" s="223"/>
    </row>
    <row r="22" spans="1:25" s="110" customFormat="1" ht="80.25" customHeight="1" x14ac:dyDescent="0.3">
      <c r="A22" s="225">
        <v>14</v>
      </c>
      <c r="B22" s="232" t="s">
        <v>77</v>
      </c>
      <c r="C22" s="248">
        <v>4.4000000000000004</v>
      </c>
      <c r="D22" s="248">
        <v>168</v>
      </c>
      <c r="E22" s="248">
        <v>213.12</v>
      </c>
      <c r="F22" s="248">
        <v>0.56000000000000005</v>
      </c>
      <c r="G22" s="248">
        <f>'2021--2025 кор. 18.03.21'!J160</f>
        <v>0</v>
      </c>
      <c r="H22" s="248"/>
      <c r="I22" s="248">
        <f>'[4]2019 г'!J138</f>
        <v>0</v>
      </c>
      <c r="J22" s="248"/>
      <c r="K22" s="248"/>
      <c r="L22" s="248"/>
      <c r="M22" s="248">
        <f>'2021--2025 кор. 18.03.21'!K161</f>
        <v>0</v>
      </c>
      <c r="N22" s="248"/>
      <c r="O22" s="248">
        <f>'[4]2019 г'!K139</f>
        <v>0</v>
      </c>
      <c r="P22" s="248"/>
      <c r="Q22" s="248">
        <f>SUM(G22:O22)</f>
        <v>0</v>
      </c>
      <c r="R22" s="232" t="s">
        <v>168</v>
      </c>
      <c r="S22" s="255">
        <f>Q22-10008.23</f>
        <v>-10008.23</v>
      </c>
      <c r="T22" s="108">
        <f>$T$1*F22</f>
        <v>845.44320000000005</v>
      </c>
      <c r="U22" s="108">
        <f>$U$1*C22</f>
        <v>1423.3019302061018</v>
      </c>
      <c r="V22" s="108">
        <f t="shared" ref="V22:V26" si="16">Q22/$V$1</f>
        <v>0</v>
      </c>
      <c r="W22" s="108">
        <f t="shared" ref="W22:W26" si="17">Q22*0.022</f>
        <v>0</v>
      </c>
      <c r="X22" s="108">
        <f t="shared" ref="X22:X26" si="18">U22+V22+W22</f>
        <v>1423.3019302061018</v>
      </c>
      <c r="Y22" s="108">
        <f t="shared" ref="Y22:Y26" si="19">T22-X22</f>
        <v>-577.85873020610177</v>
      </c>
    </row>
    <row r="23" spans="1:25" s="110" customFormat="1" ht="78.75" customHeight="1" x14ac:dyDescent="0.3">
      <c r="A23" s="225">
        <v>15</v>
      </c>
      <c r="B23" s="232" t="s">
        <v>69</v>
      </c>
      <c r="C23" s="248">
        <v>2</v>
      </c>
      <c r="D23" s="248">
        <v>28</v>
      </c>
      <c r="E23" s="248">
        <v>39.261000000000003</v>
      </c>
      <c r="F23" s="248">
        <v>9.1899999999999996E-2</v>
      </c>
      <c r="G23" s="248"/>
      <c r="H23" s="248"/>
      <c r="I23" s="248">
        <f>'2021--2025 кор. 18.03.21'!J168</f>
        <v>3000</v>
      </c>
      <c r="J23" s="248"/>
      <c r="K23" s="248"/>
      <c r="L23" s="248"/>
      <c r="M23" s="248"/>
      <c r="N23" s="248"/>
      <c r="O23" s="248">
        <f>'2021--2025 кор. 18.03.21'!K169</f>
        <v>8000</v>
      </c>
      <c r="P23" s="248"/>
      <c r="Q23" s="248">
        <f>SUM(G23:O23)</f>
        <v>11000</v>
      </c>
      <c r="R23" s="232" t="s">
        <v>169</v>
      </c>
      <c r="S23" s="255">
        <f>Q23-8000</f>
        <v>3000</v>
      </c>
      <c r="T23" s="108"/>
      <c r="U23" s="108"/>
      <c r="V23" s="108"/>
      <c r="W23" s="108"/>
      <c r="X23" s="108"/>
      <c r="Y23" s="108"/>
    </row>
    <row r="24" spans="1:25" s="110" customFormat="1" ht="70.5" customHeight="1" x14ac:dyDescent="0.3">
      <c r="A24" s="256">
        <v>16</v>
      </c>
      <c r="B24" s="257" t="s">
        <v>144</v>
      </c>
      <c r="C24" s="258">
        <v>3.5</v>
      </c>
      <c r="D24" s="258">
        <v>28</v>
      </c>
      <c r="E24" s="258">
        <v>39</v>
      </c>
      <c r="F24" s="258">
        <v>0.09</v>
      </c>
      <c r="G24" s="258"/>
      <c r="H24" s="258"/>
      <c r="I24" s="258">
        <v>0</v>
      </c>
      <c r="J24" s="258"/>
      <c r="K24" s="258"/>
      <c r="L24" s="258"/>
      <c r="M24" s="258"/>
      <c r="N24" s="258"/>
      <c r="O24" s="258">
        <v>0</v>
      </c>
      <c r="P24" s="258"/>
      <c r="Q24" s="258">
        <f>SUM(G24:O24)</f>
        <v>0</v>
      </c>
      <c r="R24" s="257" t="s">
        <v>189</v>
      </c>
      <c r="S24" s="259">
        <f>Q24-21387.84</f>
        <v>-21387.84</v>
      </c>
      <c r="T24" s="108"/>
      <c r="U24" s="108"/>
      <c r="V24" s="108"/>
      <c r="W24" s="108"/>
      <c r="X24" s="108"/>
      <c r="Y24" s="108"/>
    </row>
    <row r="25" spans="1:25" ht="82.5" customHeight="1" x14ac:dyDescent="0.3">
      <c r="A25" s="225">
        <v>17</v>
      </c>
      <c r="B25" s="232" t="s">
        <v>63</v>
      </c>
      <c r="C25" s="248">
        <v>19.329999999999998</v>
      </c>
      <c r="D25" s="248">
        <v>1031</v>
      </c>
      <c r="E25" s="248">
        <v>1397.54</v>
      </c>
      <c r="F25" s="248">
        <v>3.87</v>
      </c>
      <c r="G25" s="260">
        <f>'2021--2025 кор. 18.03.21'!J178</f>
        <v>0</v>
      </c>
      <c r="H25" s="260"/>
      <c r="I25" s="260"/>
      <c r="J25" s="260"/>
      <c r="K25" s="260"/>
      <c r="L25" s="260">
        <f>'2021--2025 кор. 18.03.21'!K178</f>
        <v>0</v>
      </c>
      <c r="M25" s="260">
        <f>'2021--2025 кор. 18.03.21'!K179</f>
        <v>0</v>
      </c>
      <c r="N25" s="260"/>
      <c r="O25" s="260"/>
      <c r="P25" s="260"/>
      <c r="Q25" s="260">
        <f>SUM(G25:O25)</f>
        <v>0</v>
      </c>
      <c r="R25" s="226" t="s">
        <v>183</v>
      </c>
      <c r="S25" s="255">
        <f>Q25-44362.69</f>
        <v>-44362.69</v>
      </c>
      <c r="T25" s="112"/>
      <c r="U25" s="112"/>
      <c r="V25" s="112"/>
      <c r="W25" s="112"/>
      <c r="X25" s="112"/>
      <c r="Y25" s="112"/>
    </row>
    <row r="26" spans="1:25" ht="69" customHeight="1" x14ac:dyDescent="0.3">
      <c r="A26" s="225">
        <v>18</v>
      </c>
      <c r="B26" s="232" t="s">
        <v>145</v>
      </c>
      <c r="C26" s="248">
        <v>8</v>
      </c>
      <c r="D26" s="248">
        <v>512</v>
      </c>
      <c r="E26" s="248">
        <v>717.96100000000001</v>
      </c>
      <c r="F26" s="248">
        <v>1.6830000000000001</v>
      </c>
      <c r="G26" s="260"/>
      <c r="H26" s="260">
        <f>'2021--2025 кор. 18.03.21'!J185</f>
        <v>0</v>
      </c>
      <c r="I26" s="260"/>
      <c r="J26" s="260"/>
      <c r="K26" s="260"/>
      <c r="L26" s="260"/>
      <c r="M26" s="260">
        <f>'2021--2025 кор. 18.03.21'!K185</f>
        <v>0</v>
      </c>
      <c r="N26" s="260"/>
      <c r="O26" s="260"/>
      <c r="P26" s="260"/>
      <c r="Q26" s="260">
        <f>SUM(G26:O26)</f>
        <v>0</v>
      </c>
      <c r="R26" s="226" t="s">
        <v>177</v>
      </c>
      <c r="S26" s="255">
        <f>Q26-29374.27</f>
        <v>-29374.27</v>
      </c>
      <c r="T26" s="108">
        <f>$T$1*F26</f>
        <v>2540.8587600000001</v>
      </c>
      <c r="U26" s="108">
        <f>$U$1*C26</f>
        <v>2587.8216912838211</v>
      </c>
      <c r="V26" s="108">
        <f t="shared" si="16"/>
        <v>0</v>
      </c>
      <c r="W26" s="108">
        <f t="shared" si="17"/>
        <v>0</v>
      </c>
      <c r="X26" s="108">
        <f t="shared" si="18"/>
        <v>2587.8216912838211</v>
      </c>
      <c r="Y26" s="108">
        <f t="shared" si="19"/>
        <v>-46.962931283821035</v>
      </c>
    </row>
    <row r="27" spans="1:25" ht="39" customHeight="1" x14ac:dyDescent="0.3">
      <c r="A27" s="238"/>
      <c r="B27" s="239" t="s">
        <v>29</v>
      </c>
      <c r="C27" s="261">
        <f t="shared" ref="C27:J27" si="20">SUM(C22:C26)</f>
        <v>37.229999999999997</v>
      </c>
      <c r="D27" s="261">
        <f t="shared" si="20"/>
        <v>1767</v>
      </c>
      <c r="E27" s="261">
        <f t="shared" si="20"/>
        <v>2406.8819999999996</v>
      </c>
      <c r="F27" s="261">
        <f t="shared" si="20"/>
        <v>6.2949000000000002</v>
      </c>
      <c r="G27" s="261">
        <f t="shared" si="20"/>
        <v>0</v>
      </c>
      <c r="H27" s="261">
        <f t="shared" si="20"/>
        <v>0</v>
      </c>
      <c r="I27" s="261">
        <f t="shared" si="20"/>
        <v>3000</v>
      </c>
      <c r="J27" s="261">
        <f t="shared" si="20"/>
        <v>0</v>
      </c>
      <c r="K27" s="261"/>
      <c r="L27" s="261">
        <f>SUM(L22:L26)</f>
        <v>0</v>
      </c>
      <c r="M27" s="261">
        <f>SUM(M22:M26)</f>
        <v>0</v>
      </c>
      <c r="N27" s="261">
        <f>SUM(N22:N26)</f>
        <v>0</v>
      </c>
      <c r="O27" s="261">
        <f>SUM(O22:O26)</f>
        <v>8000</v>
      </c>
      <c r="P27" s="261"/>
      <c r="Q27" s="261">
        <f>SUM(Q22:Q26)</f>
        <v>11000</v>
      </c>
      <c r="R27" s="241"/>
      <c r="S27" s="223"/>
    </row>
    <row r="28" spans="1:25" ht="27" customHeight="1" x14ac:dyDescent="0.3">
      <c r="A28" s="537" t="s">
        <v>34</v>
      </c>
      <c r="B28" s="537"/>
      <c r="C28" s="252"/>
      <c r="D28" s="262"/>
      <c r="E28" s="262"/>
      <c r="F28" s="262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4"/>
      <c r="S28" s="223"/>
    </row>
    <row r="29" spans="1:25" s="115" customFormat="1" ht="74.25" customHeight="1" x14ac:dyDescent="0.3">
      <c r="A29" s="238">
        <v>20</v>
      </c>
      <c r="B29" s="232" t="s">
        <v>88</v>
      </c>
      <c r="C29" s="236">
        <v>13.9</v>
      </c>
      <c r="D29" s="228">
        <v>570</v>
      </c>
      <c r="E29" s="228">
        <v>1494.4</v>
      </c>
      <c r="F29" s="228">
        <v>2.34</v>
      </c>
      <c r="G29" s="265">
        <f>'2021--2025 кор. 18.03.21'!J221</f>
        <v>0</v>
      </c>
      <c r="H29" s="265"/>
      <c r="I29" s="265"/>
      <c r="J29" s="265"/>
      <c r="K29" s="265"/>
      <c r="L29" s="265">
        <f>'2021--2025 кор. 18.03.21'!K221</f>
        <v>0</v>
      </c>
      <c r="M29" s="265">
        <f>'2021--2025 кор. 18.03.21'!K222</f>
        <v>0</v>
      </c>
      <c r="N29" s="251"/>
      <c r="O29" s="251"/>
      <c r="P29" s="251"/>
      <c r="Q29" s="265">
        <f>SUM(G29:O29)</f>
        <v>0</v>
      </c>
      <c r="R29" s="232" t="s">
        <v>178</v>
      </c>
      <c r="S29" s="266">
        <f>Q29-33821.78</f>
        <v>-33821.78</v>
      </c>
      <c r="T29" s="116"/>
      <c r="U29" s="116"/>
      <c r="V29" s="116"/>
      <c r="W29" s="116"/>
      <c r="X29" s="116"/>
      <c r="Y29" s="116"/>
    </row>
    <row r="30" spans="1:25" ht="27" customHeight="1" x14ac:dyDescent="0.3">
      <c r="A30" s="238"/>
      <c r="B30" s="239" t="s">
        <v>29</v>
      </c>
      <c r="C30" s="267">
        <f t="shared" ref="C30:J30" si="21">SUM(C29:C29)</f>
        <v>13.9</v>
      </c>
      <c r="D30" s="267">
        <f t="shared" si="21"/>
        <v>570</v>
      </c>
      <c r="E30" s="267">
        <f t="shared" si="21"/>
        <v>1494.4</v>
      </c>
      <c r="F30" s="267">
        <f t="shared" si="21"/>
        <v>2.34</v>
      </c>
      <c r="G30" s="267">
        <f t="shared" si="21"/>
        <v>0</v>
      </c>
      <c r="H30" s="267">
        <f t="shared" si="21"/>
        <v>0</v>
      </c>
      <c r="I30" s="267">
        <f t="shared" si="21"/>
        <v>0</v>
      </c>
      <c r="J30" s="267">
        <f t="shared" si="21"/>
        <v>0</v>
      </c>
      <c r="K30" s="267"/>
      <c r="L30" s="267">
        <f>SUM(L29:L29)</f>
        <v>0</v>
      </c>
      <c r="M30" s="267">
        <f>SUM(M29:M29)</f>
        <v>0</v>
      </c>
      <c r="N30" s="267">
        <f>SUM(N29:N29)</f>
        <v>0</v>
      </c>
      <c r="O30" s="267">
        <f>SUM(O29:O29)</f>
        <v>0</v>
      </c>
      <c r="P30" s="267"/>
      <c r="Q30" s="267">
        <f>SUM(Q29:Q29)</f>
        <v>0</v>
      </c>
      <c r="R30" s="241"/>
      <c r="S30" s="223"/>
    </row>
    <row r="31" spans="1:25" ht="34.5" customHeight="1" x14ac:dyDescent="0.3">
      <c r="A31" s="537" t="s">
        <v>11</v>
      </c>
      <c r="B31" s="537"/>
      <c r="C31" s="252"/>
      <c r="D31" s="262"/>
      <c r="E31" s="262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4"/>
      <c r="S31" s="223"/>
    </row>
    <row r="32" spans="1:25" s="115" customFormat="1" ht="46.5" customHeight="1" x14ac:dyDescent="0.3">
      <c r="A32" s="238">
        <v>21</v>
      </c>
      <c r="B32" s="232" t="s">
        <v>76</v>
      </c>
      <c r="C32" s="236">
        <v>3.5</v>
      </c>
      <c r="D32" s="228">
        <v>92</v>
      </c>
      <c r="E32" s="228">
        <v>129.01</v>
      </c>
      <c r="F32" s="228">
        <v>0.3</v>
      </c>
      <c r="G32" s="265"/>
      <c r="H32" s="265"/>
      <c r="I32" s="265">
        <f>'[4]2019 г'!J200</f>
        <v>0</v>
      </c>
      <c r="J32" s="265">
        <f>'2021--2025 кор. 18.03.21'!J237</f>
        <v>0</v>
      </c>
      <c r="K32" s="265"/>
      <c r="L32" s="265">
        <f>'[4]2019 г'!K182</f>
        <v>0</v>
      </c>
      <c r="M32" s="251"/>
      <c r="N32" s="251"/>
      <c r="O32" s="251"/>
      <c r="P32" s="251"/>
      <c r="Q32" s="265">
        <f>SUM(G32:O32)</f>
        <v>0</v>
      </c>
      <c r="R32" s="232" t="s">
        <v>179</v>
      </c>
      <c r="S32" s="266">
        <f>Q32-21000</f>
        <v>-21000</v>
      </c>
      <c r="T32" s="114">
        <f>$T$1*F32</f>
        <v>452.916</v>
      </c>
      <c r="U32" s="114">
        <f>$U$1*C32</f>
        <v>1132.1719899366717</v>
      </c>
      <c r="V32" s="114">
        <f>Q32/$V$1</f>
        <v>0</v>
      </c>
      <c r="W32" s="114">
        <f>Q32*0.022</f>
        <v>0</v>
      </c>
      <c r="X32" s="114">
        <f>U32+V32+W32</f>
        <v>1132.1719899366717</v>
      </c>
      <c r="Y32" s="114">
        <f>T32-X32</f>
        <v>-679.25598993667177</v>
      </c>
    </row>
    <row r="33" spans="1:25" ht="27" customHeight="1" x14ac:dyDescent="0.3">
      <c r="A33" s="238">
        <v>22</v>
      </c>
      <c r="B33" s="239" t="s">
        <v>29</v>
      </c>
      <c r="C33" s="267">
        <f>SUM(C32)</f>
        <v>3.5</v>
      </c>
      <c r="D33" s="267">
        <f>SUM(D32)</f>
        <v>92</v>
      </c>
      <c r="E33" s="267">
        <f>SUM(E32)</f>
        <v>129.01</v>
      </c>
      <c r="F33" s="267">
        <f>SUM(F32)</f>
        <v>0.3</v>
      </c>
      <c r="G33" s="267">
        <f t="shared" ref="G33:Q33" si="22">SUM(G32)</f>
        <v>0</v>
      </c>
      <c r="H33" s="267">
        <f t="shared" si="22"/>
        <v>0</v>
      </c>
      <c r="I33" s="267">
        <f t="shared" si="22"/>
        <v>0</v>
      </c>
      <c r="J33" s="267">
        <f t="shared" si="22"/>
        <v>0</v>
      </c>
      <c r="K33" s="267"/>
      <c r="L33" s="267">
        <f t="shared" si="22"/>
        <v>0</v>
      </c>
      <c r="M33" s="267">
        <f t="shared" si="22"/>
        <v>0</v>
      </c>
      <c r="N33" s="267">
        <f t="shared" si="22"/>
        <v>0</v>
      </c>
      <c r="O33" s="267">
        <f t="shared" si="22"/>
        <v>0</v>
      </c>
      <c r="P33" s="267"/>
      <c r="Q33" s="261">
        <f t="shared" si="22"/>
        <v>0</v>
      </c>
      <c r="R33" s="241"/>
      <c r="S33" s="223"/>
    </row>
    <row r="34" spans="1:25" ht="34.5" customHeight="1" x14ac:dyDescent="0.3">
      <c r="A34" s="539" t="s">
        <v>8</v>
      </c>
      <c r="B34" s="539"/>
      <c r="C34" s="224"/>
      <c r="D34" s="224"/>
      <c r="E34" s="224"/>
      <c r="F34" s="224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24"/>
      <c r="S34" s="223"/>
    </row>
    <row r="35" spans="1:25" ht="71.25" customHeight="1" x14ac:dyDescent="0.3">
      <c r="A35" s="225">
        <v>24</v>
      </c>
      <c r="B35" s="226" t="s">
        <v>146</v>
      </c>
      <c r="C35" s="236">
        <v>5</v>
      </c>
      <c r="D35" s="225">
        <v>120</v>
      </c>
      <c r="E35" s="225">
        <v>12500</v>
      </c>
      <c r="F35" s="228">
        <v>23.8</v>
      </c>
      <c r="G35" s="229"/>
      <c r="H35" s="229"/>
      <c r="I35" s="229">
        <v>0</v>
      </c>
      <c r="J35" s="229"/>
      <c r="K35" s="229"/>
      <c r="L35" s="229">
        <f>'2021--2025 кор. 18.03.21'!K260</f>
        <v>0</v>
      </c>
      <c r="M35" s="229"/>
      <c r="N35" s="229"/>
      <c r="O35" s="230"/>
      <c r="P35" s="230"/>
      <c r="Q35" s="229">
        <f>SUM(G35:O35)</f>
        <v>0</v>
      </c>
      <c r="R35" s="232"/>
      <c r="S35" s="223"/>
    </row>
    <row r="36" spans="1:25" s="110" customFormat="1" ht="76.5" customHeight="1" x14ac:dyDescent="0.3">
      <c r="A36" s="225">
        <v>25</v>
      </c>
      <c r="B36" s="226" t="s">
        <v>66</v>
      </c>
      <c r="C36" s="227">
        <v>11.5</v>
      </c>
      <c r="D36" s="225">
        <v>350</v>
      </c>
      <c r="E36" s="228">
        <v>490.79329999999999</v>
      </c>
      <c r="F36" s="228">
        <v>2.77</v>
      </c>
      <c r="G36" s="230"/>
      <c r="H36" s="230"/>
      <c r="I36" s="230">
        <f>'2021--2025 кор. 18.03.21'!J274</f>
        <v>0</v>
      </c>
      <c r="J36" s="229">
        <f>'2021--2025 кор. 18.03.21'!J275</f>
        <v>0</v>
      </c>
      <c r="K36" s="229"/>
      <c r="L36" s="229"/>
      <c r="M36" s="229"/>
      <c r="N36" s="229"/>
      <c r="O36" s="229">
        <f>'2021--2025 кор. 18.03.21'!K275</f>
        <v>0</v>
      </c>
      <c r="P36" s="229"/>
      <c r="Q36" s="229">
        <f>SUM(G36:O36)</f>
        <v>0</v>
      </c>
      <c r="R36" s="232" t="s">
        <v>180</v>
      </c>
      <c r="S36" s="249">
        <f>Q36-40750</f>
        <v>-40750</v>
      </c>
      <c r="T36" s="114">
        <f>$T$1*F36</f>
        <v>4181.9243999999999</v>
      </c>
      <c r="U36" s="114">
        <f>$U$1*C36</f>
        <v>3719.9936812204928</v>
      </c>
      <c r="V36" s="114">
        <f t="shared" ref="V36:V38" si="23">Q36/$V$1</f>
        <v>0</v>
      </c>
      <c r="W36" s="114">
        <f t="shared" ref="W36:W38" si="24">Q36*0.022</f>
        <v>0</v>
      </c>
      <c r="X36" s="114">
        <f t="shared" ref="X36:X38" si="25">U36+V36+W36</f>
        <v>3719.9936812204928</v>
      </c>
      <c r="Y36" s="114">
        <f t="shared" ref="Y36:Y38" si="26">T36-X36</f>
        <v>461.93071877950706</v>
      </c>
    </row>
    <row r="37" spans="1:25" s="110" customFormat="1" ht="76.5" customHeight="1" x14ac:dyDescent="0.3">
      <c r="A37" s="256">
        <v>26</v>
      </c>
      <c r="B37" s="269" t="s">
        <v>157</v>
      </c>
      <c r="C37" s="270">
        <v>8.5</v>
      </c>
      <c r="D37" s="256">
        <v>150</v>
      </c>
      <c r="E37" s="271">
        <v>208.57</v>
      </c>
      <c r="F37" s="271">
        <v>0.42</v>
      </c>
      <c r="G37" s="272"/>
      <c r="H37" s="272"/>
      <c r="I37" s="272"/>
      <c r="J37" s="273"/>
      <c r="K37" s="273"/>
      <c r="L37" s="273"/>
      <c r="M37" s="273"/>
      <c r="N37" s="273"/>
      <c r="O37" s="273"/>
      <c r="P37" s="273"/>
      <c r="Q37" s="273"/>
      <c r="R37" s="257" t="s">
        <v>190</v>
      </c>
      <c r="S37" s="274">
        <f>Q37-28560.9</f>
        <v>-28560.9</v>
      </c>
      <c r="T37" s="114"/>
      <c r="U37" s="114"/>
      <c r="V37" s="114"/>
      <c r="W37" s="114"/>
      <c r="X37" s="114"/>
      <c r="Y37" s="114"/>
    </row>
    <row r="38" spans="1:25" s="110" customFormat="1" ht="102.75" customHeight="1" x14ac:dyDescent="0.3">
      <c r="A38" s="225">
        <v>27</v>
      </c>
      <c r="B38" s="226" t="s">
        <v>67</v>
      </c>
      <c r="C38" s="227">
        <v>3.62</v>
      </c>
      <c r="D38" s="228">
        <v>168</v>
      </c>
      <c r="E38" s="236">
        <v>205</v>
      </c>
      <c r="F38" s="228">
        <v>0.36</v>
      </c>
      <c r="G38" s="230">
        <f>[5]программа!J219</f>
        <v>0</v>
      </c>
      <c r="H38" s="230"/>
      <c r="I38" s="230">
        <f>'2021--2025 кор. 18.03.21'!J280</f>
        <v>2000</v>
      </c>
      <c r="J38" s="230">
        <f>'2021--2025 кор. 18.03.21'!J281</f>
        <v>800</v>
      </c>
      <c r="K38" s="230"/>
      <c r="L38" s="230">
        <f>[5]программа!K219</f>
        <v>0</v>
      </c>
      <c r="M38" s="230">
        <f>'[4]2019 г'!K236</f>
        <v>0</v>
      </c>
      <c r="N38" s="230"/>
      <c r="O38" s="230">
        <f>'2021--2025 кор. 18.03.21'!K281</f>
        <v>28100</v>
      </c>
      <c r="P38" s="230"/>
      <c r="Q38" s="229">
        <f>SUM(G38:O38)</f>
        <v>30900</v>
      </c>
      <c r="R38" s="232" t="s">
        <v>181</v>
      </c>
      <c r="S38" s="249">
        <f>Q38-18500</f>
        <v>12400</v>
      </c>
      <c r="T38" s="114">
        <f>$T$1*F38</f>
        <v>543.49919999999997</v>
      </c>
      <c r="U38" s="114">
        <f>$U$1*C38</f>
        <v>1170.989315305929</v>
      </c>
      <c r="V38" s="114">
        <f t="shared" si="23"/>
        <v>618</v>
      </c>
      <c r="W38" s="114">
        <f t="shared" si="24"/>
        <v>679.8</v>
      </c>
      <c r="X38" s="114">
        <f t="shared" si="25"/>
        <v>2468.789315305929</v>
      </c>
      <c r="Y38" s="114">
        <f t="shared" si="26"/>
        <v>-1925.290115305929</v>
      </c>
    </row>
    <row r="39" spans="1:25" s="110" customFormat="1" ht="69" customHeight="1" x14ac:dyDescent="0.3">
      <c r="A39" s="256">
        <v>28</v>
      </c>
      <c r="B39" s="269" t="s">
        <v>147</v>
      </c>
      <c r="C39" s="270">
        <v>2.5</v>
      </c>
      <c r="D39" s="271">
        <v>224</v>
      </c>
      <c r="E39" s="275">
        <v>314.05</v>
      </c>
      <c r="F39" s="271">
        <v>0.74</v>
      </c>
      <c r="G39" s="272"/>
      <c r="H39" s="272">
        <f>'[4]2019 г'!J242</f>
        <v>0</v>
      </c>
      <c r="I39" s="272">
        <v>0</v>
      </c>
      <c r="J39" s="272"/>
      <c r="K39" s="272"/>
      <c r="L39" s="272"/>
      <c r="M39" s="272">
        <f>'[4]2019 г'!K242</f>
        <v>0</v>
      </c>
      <c r="N39" s="272">
        <v>0</v>
      </c>
      <c r="O39" s="272"/>
      <c r="P39" s="272"/>
      <c r="Q39" s="273">
        <f>SUM(G39:O39)</f>
        <v>0</v>
      </c>
      <c r="R39" s="257" t="s">
        <v>190</v>
      </c>
      <c r="S39" s="274">
        <f>Q39-9250</f>
        <v>-9250</v>
      </c>
      <c r="T39" s="114"/>
      <c r="U39" s="114"/>
      <c r="V39" s="114"/>
      <c r="W39" s="114"/>
      <c r="X39" s="114"/>
      <c r="Y39" s="114"/>
    </row>
    <row r="40" spans="1:25" s="110" customFormat="1" ht="48" customHeight="1" x14ac:dyDescent="0.3">
      <c r="A40" s="225">
        <v>29</v>
      </c>
      <c r="B40" s="226" t="s">
        <v>91</v>
      </c>
      <c r="C40" s="227">
        <v>7.83</v>
      </c>
      <c r="D40" s="228">
        <v>224</v>
      </c>
      <c r="E40" s="236">
        <v>314.05</v>
      </c>
      <c r="F40" s="228">
        <v>2.0099999999999998</v>
      </c>
      <c r="G40" s="230"/>
      <c r="H40" s="230"/>
      <c r="I40" s="230"/>
      <c r="J40" s="230"/>
      <c r="K40" s="230"/>
      <c r="L40" s="230">
        <f>'2021--2025 кор. 18.03.21'!K290</f>
        <v>0</v>
      </c>
      <c r="M40" s="230"/>
      <c r="N40" s="230"/>
      <c r="O40" s="230"/>
      <c r="P40" s="230"/>
      <c r="Q40" s="229">
        <f>SUM(G40:O40)</f>
        <v>0</v>
      </c>
      <c r="R40" s="232"/>
      <c r="S40" s="232"/>
      <c r="T40" s="116"/>
      <c r="U40" s="116"/>
      <c r="V40" s="116"/>
      <c r="W40" s="116"/>
      <c r="X40" s="116"/>
      <c r="Y40" s="116"/>
    </row>
    <row r="41" spans="1:25" ht="17.25" customHeight="1" x14ac:dyDescent="0.3">
      <c r="A41" s="238"/>
      <c r="B41" s="239" t="s">
        <v>29</v>
      </c>
      <c r="C41" s="261">
        <f>SUM(C35:C39)</f>
        <v>31.12</v>
      </c>
      <c r="D41" s="261">
        <f>SUM(D35:D39)</f>
        <v>1012</v>
      </c>
      <c r="E41" s="261">
        <f>SUM(E35:E39)</f>
        <v>13718.413299999998</v>
      </c>
      <c r="F41" s="261">
        <f>SUM(F35:F39)</f>
        <v>28.09</v>
      </c>
      <c r="G41" s="261">
        <f>SUM(G35:G40)</f>
        <v>0</v>
      </c>
      <c r="H41" s="261">
        <f>SUM(H35:H40)</f>
        <v>0</v>
      </c>
      <c r="I41" s="261">
        <f>SUM(I35:I40)</f>
        <v>2000</v>
      </c>
      <c r="J41" s="261">
        <f>SUM(J35:J40)</f>
        <v>800</v>
      </c>
      <c r="K41" s="261"/>
      <c r="L41" s="261">
        <f>SUM(L35:L40)</f>
        <v>0</v>
      </c>
      <c r="M41" s="261">
        <f>SUM(M35:M40)</f>
        <v>0</v>
      </c>
      <c r="N41" s="261">
        <f>SUM(N35:N40)</f>
        <v>0</v>
      </c>
      <c r="O41" s="261">
        <f>SUM(O35:O40)</f>
        <v>28100</v>
      </c>
      <c r="P41" s="261"/>
      <c r="Q41" s="261">
        <f>SUM(Q35:Q40)</f>
        <v>30900</v>
      </c>
      <c r="R41" s="241"/>
      <c r="S41" s="223"/>
    </row>
    <row r="42" spans="1:25" ht="31.5" customHeight="1" x14ac:dyDescent="0.3">
      <c r="A42" s="540" t="s">
        <v>113</v>
      </c>
      <c r="B42" s="541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64"/>
      <c r="S42" s="223"/>
    </row>
    <row r="43" spans="1:25" ht="105.75" customHeight="1" x14ac:dyDescent="0.3">
      <c r="A43" s="225">
        <v>30</v>
      </c>
      <c r="B43" s="232" t="s">
        <v>109</v>
      </c>
      <c r="C43" s="248">
        <v>3.8</v>
      </c>
      <c r="D43" s="248">
        <v>174</v>
      </c>
      <c r="E43" s="248">
        <v>258.3</v>
      </c>
      <c r="F43" s="248">
        <v>2.8</v>
      </c>
      <c r="G43" s="248">
        <f>'2021--2025 кор. 18.03.21'!J247</f>
        <v>0</v>
      </c>
      <c r="H43" s="248">
        <f>'2021--2025 кор. 18.03.21'!J248</f>
        <v>0</v>
      </c>
      <c r="I43" s="248"/>
      <c r="J43" s="248"/>
      <c r="K43" s="248"/>
      <c r="L43" s="248"/>
      <c r="M43" s="248">
        <f>'2021--2025 кор. 18.03.21'!K248</f>
        <v>0</v>
      </c>
      <c r="N43" s="248"/>
      <c r="O43" s="248"/>
      <c r="P43" s="248"/>
      <c r="Q43" s="229">
        <f>SUM(G43:O43)</f>
        <v>0</v>
      </c>
      <c r="R43" s="232" t="s">
        <v>169</v>
      </c>
      <c r="S43" s="290">
        <f>Q43-20712.12</f>
        <v>-20712.12</v>
      </c>
    </row>
    <row r="44" spans="1:25" ht="17.25" customHeight="1" x14ac:dyDescent="0.3">
      <c r="A44" s="238"/>
      <c r="B44" s="239" t="s">
        <v>29</v>
      </c>
      <c r="C44" s="261">
        <f>SUM(C43)</f>
        <v>3.8</v>
      </c>
      <c r="D44" s="261">
        <f t="shared" ref="D44:Q44" si="27">SUM(D43)</f>
        <v>174</v>
      </c>
      <c r="E44" s="261">
        <f t="shared" si="27"/>
        <v>258.3</v>
      </c>
      <c r="F44" s="261">
        <f t="shared" si="27"/>
        <v>2.8</v>
      </c>
      <c r="G44" s="261">
        <f t="shared" si="27"/>
        <v>0</v>
      </c>
      <c r="H44" s="261">
        <f t="shared" si="27"/>
        <v>0</v>
      </c>
      <c r="I44" s="261">
        <f t="shared" si="27"/>
        <v>0</v>
      </c>
      <c r="J44" s="261">
        <f t="shared" si="27"/>
        <v>0</v>
      </c>
      <c r="K44" s="261"/>
      <c r="L44" s="261">
        <f t="shared" si="27"/>
        <v>0</v>
      </c>
      <c r="M44" s="261">
        <f t="shared" si="27"/>
        <v>0</v>
      </c>
      <c r="N44" s="261">
        <f t="shared" si="27"/>
        <v>0</v>
      </c>
      <c r="O44" s="261">
        <f t="shared" si="27"/>
        <v>0</v>
      </c>
      <c r="P44" s="261"/>
      <c r="Q44" s="261">
        <f t="shared" si="27"/>
        <v>0</v>
      </c>
      <c r="R44" s="241"/>
      <c r="S44" s="223"/>
    </row>
    <row r="45" spans="1:25" ht="29.25" customHeight="1" x14ac:dyDescent="0.3">
      <c r="A45" s="539" t="s">
        <v>45</v>
      </c>
      <c r="B45" s="539"/>
      <c r="C45" s="252"/>
      <c r="D45" s="252"/>
      <c r="E45" s="252"/>
      <c r="F45" s="252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24"/>
      <c r="S45" s="223"/>
    </row>
    <row r="46" spans="1:25" s="110" customFormat="1" ht="89.25" customHeight="1" x14ac:dyDescent="0.3">
      <c r="A46" s="225">
        <v>31</v>
      </c>
      <c r="B46" s="226" t="s">
        <v>112</v>
      </c>
      <c r="C46" s="227">
        <v>3.5</v>
      </c>
      <c r="D46" s="228">
        <v>260</v>
      </c>
      <c r="E46" s="236">
        <v>705.8</v>
      </c>
      <c r="F46" s="236">
        <v>2.85</v>
      </c>
      <c r="G46" s="230">
        <v>1000</v>
      </c>
      <c r="H46" s="230">
        <f>'2021--2025 кор. 18.03.21'!J304</f>
        <v>0</v>
      </c>
      <c r="I46" s="230">
        <f>'[4]2019 г'!J262</f>
        <v>0</v>
      </c>
      <c r="J46" s="230">
        <f>[5]программа!J262</f>
        <v>0</v>
      </c>
      <c r="K46" s="230"/>
      <c r="L46" s="230"/>
      <c r="M46" s="230">
        <f>'2021--2025 кор. 18.03.21'!K304</f>
        <v>0</v>
      </c>
      <c r="N46" s="230">
        <f>'2021--2025 кор. 18.03.21'!K305</f>
        <v>0</v>
      </c>
      <c r="O46" s="230">
        <f>'[4]2019 г'!K263</f>
        <v>0</v>
      </c>
      <c r="P46" s="230"/>
      <c r="Q46" s="231">
        <f>SUM(G46:O46)</f>
        <v>1000</v>
      </c>
      <c r="R46" s="226" t="s">
        <v>182</v>
      </c>
      <c r="S46" s="277">
        <f>Q46-18900</f>
        <v>-17900</v>
      </c>
      <c r="T46" s="117">
        <f>$T$1*F46</f>
        <v>4302.7020000000002</v>
      </c>
      <c r="U46" s="117">
        <f>$U$1*C46</f>
        <v>1132.1719899366717</v>
      </c>
      <c r="V46" s="117">
        <f>Q46/$V$1</f>
        <v>20</v>
      </c>
      <c r="W46" s="117">
        <f>Q46*0.022</f>
        <v>22</v>
      </c>
      <c r="X46" s="117">
        <f>U46+V46+W46</f>
        <v>1174.1719899366717</v>
      </c>
      <c r="Y46" s="117">
        <f>T46-X46</f>
        <v>3128.5300100633285</v>
      </c>
    </row>
    <row r="47" spans="1:25" s="110" customFormat="1" ht="56.25" customHeight="1" x14ac:dyDescent="0.3">
      <c r="A47" s="225">
        <v>32</v>
      </c>
      <c r="B47" s="226" t="s">
        <v>73</v>
      </c>
      <c r="C47" s="227">
        <v>3.4</v>
      </c>
      <c r="D47" s="228">
        <v>470</v>
      </c>
      <c r="E47" s="236">
        <v>440.4</v>
      </c>
      <c r="F47" s="236">
        <v>1.107</v>
      </c>
      <c r="G47" s="230">
        <v>2300</v>
      </c>
      <c r="H47" s="230"/>
      <c r="I47" s="230"/>
      <c r="J47" s="230"/>
      <c r="K47" s="230"/>
      <c r="L47" s="230">
        <f>'2021--2025 кор. 18.03.21'!K309</f>
        <v>0</v>
      </c>
      <c r="M47" s="230">
        <f>'2021--2025 кор. 18.03.21'!K310</f>
        <v>0</v>
      </c>
      <c r="N47" s="230"/>
      <c r="O47" s="230"/>
      <c r="P47" s="230"/>
      <c r="Q47" s="231">
        <f>SUM(G47:O47)</f>
        <v>2300</v>
      </c>
      <c r="R47" s="226" t="s">
        <v>182</v>
      </c>
      <c r="S47" s="277">
        <f>Q47-11400</f>
        <v>-9100</v>
      </c>
      <c r="T47" s="118"/>
      <c r="U47" s="118"/>
      <c r="V47" s="118"/>
      <c r="W47" s="118"/>
      <c r="X47" s="118"/>
      <c r="Y47" s="118"/>
    </row>
    <row r="48" spans="1:25" s="110" customFormat="1" ht="88.5" customHeight="1" x14ac:dyDescent="0.3">
      <c r="A48" s="225">
        <v>33</v>
      </c>
      <c r="B48" s="226" t="s">
        <v>148</v>
      </c>
      <c r="C48" s="227">
        <v>17.7</v>
      </c>
      <c r="D48" s="228">
        <v>937</v>
      </c>
      <c r="E48" s="236">
        <v>913.66</v>
      </c>
      <c r="F48" s="236">
        <v>2.5649999999999999</v>
      </c>
      <c r="G48" s="230">
        <v>4200</v>
      </c>
      <c r="H48" s="230"/>
      <c r="I48" s="230"/>
      <c r="J48" s="230"/>
      <c r="K48" s="230"/>
      <c r="L48" s="230">
        <f>'2021--2025 кор. 18.03.21'!K315</f>
        <v>0</v>
      </c>
      <c r="M48" s="230">
        <f>'2021--2025 кор. 18.03.21'!K316</f>
        <v>0</v>
      </c>
      <c r="N48" s="230"/>
      <c r="O48" s="230"/>
      <c r="P48" s="230"/>
      <c r="Q48" s="231">
        <f>SUM(G48:O48)</f>
        <v>4200</v>
      </c>
      <c r="R48" s="226" t="s">
        <v>184</v>
      </c>
      <c r="S48" s="277">
        <f>Q48-112913.31</f>
        <v>-108713.31</v>
      </c>
      <c r="T48" s="118"/>
      <c r="U48" s="118"/>
      <c r="V48" s="118"/>
      <c r="W48" s="118"/>
      <c r="X48" s="118"/>
      <c r="Y48" s="118"/>
    </row>
    <row r="49" spans="1:25" ht="20.25" customHeight="1" x14ac:dyDescent="0.3">
      <c r="A49" s="238"/>
      <c r="B49" s="239" t="s">
        <v>29</v>
      </c>
      <c r="C49" s="240">
        <f>SUM(C46:C48)</f>
        <v>24.6</v>
      </c>
      <c r="D49" s="240">
        <f t="shared" ref="D49:Q49" si="28">SUM(D46:D48)</f>
        <v>1667</v>
      </c>
      <c r="E49" s="240">
        <f t="shared" si="28"/>
        <v>2059.8599999999997</v>
      </c>
      <c r="F49" s="240">
        <f t="shared" si="28"/>
        <v>6.5220000000000002</v>
      </c>
      <c r="G49" s="240">
        <f t="shared" ref="G49:O49" si="29">SUM(G46:G48)</f>
        <v>7500</v>
      </c>
      <c r="H49" s="240">
        <f t="shared" si="29"/>
        <v>0</v>
      </c>
      <c r="I49" s="240">
        <f t="shared" si="29"/>
        <v>0</v>
      </c>
      <c r="J49" s="240">
        <f t="shared" si="29"/>
        <v>0</v>
      </c>
      <c r="K49" s="240"/>
      <c r="L49" s="240">
        <f t="shared" si="29"/>
        <v>0</v>
      </c>
      <c r="M49" s="240">
        <f t="shared" si="29"/>
        <v>0</v>
      </c>
      <c r="N49" s="240">
        <f t="shared" si="29"/>
        <v>0</v>
      </c>
      <c r="O49" s="240">
        <f t="shared" si="29"/>
        <v>0</v>
      </c>
      <c r="P49" s="240"/>
      <c r="Q49" s="240">
        <f t="shared" si="28"/>
        <v>7500</v>
      </c>
      <c r="R49" s="241"/>
      <c r="S49" s="223"/>
    </row>
    <row r="50" spans="1:25" ht="36" customHeight="1" x14ac:dyDescent="0.3">
      <c r="A50" s="540" t="s">
        <v>158</v>
      </c>
      <c r="B50" s="541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64"/>
      <c r="S50" s="223"/>
    </row>
    <row r="51" spans="1:25" ht="60.75" customHeight="1" x14ac:dyDescent="0.3">
      <c r="A51" s="238">
        <v>34</v>
      </c>
      <c r="B51" s="234" t="s">
        <v>117</v>
      </c>
      <c r="C51" s="279">
        <v>12.15</v>
      </c>
      <c r="D51" s="279">
        <v>179</v>
      </c>
      <c r="E51" s="279">
        <v>687.9</v>
      </c>
      <c r="F51" s="279">
        <v>1.0960000000000001</v>
      </c>
      <c r="G51" s="240"/>
      <c r="H51" s="279">
        <f>'2021--2025 кор. 18.03.21'!J329</f>
        <v>0</v>
      </c>
      <c r="I51" s="279"/>
      <c r="J51" s="279"/>
      <c r="K51" s="279"/>
      <c r="L51" s="279"/>
      <c r="M51" s="279">
        <f>'2021--2025 кор. 18.03.21'!K329</f>
        <v>0</v>
      </c>
      <c r="N51" s="279">
        <f>'2021--2025 кор. 18.03.21'!K330</f>
        <v>0</v>
      </c>
      <c r="O51" s="279"/>
      <c r="P51" s="279"/>
      <c r="Q51" s="279">
        <f>SUM(G51:O51)</f>
        <v>0</v>
      </c>
      <c r="R51" s="232" t="s">
        <v>185</v>
      </c>
      <c r="S51" s="280">
        <f>Q51-49100</f>
        <v>-49100</v>
      </c>
    </row>
    <row r="52" spans="1:25" ht="20.25" customHeight="1" x14ac:dyDescent="0.3">
      <c r="A52" s="238"/>
      <c r="B52" s="239" t="s">
        <v>29</v>
      </c>
      <c r="C52" s="240">
        <f>SUM(C51)</f>
        <v>12.15</v>
      </c>
      <c r="D52" s="240">
        <f t="shared" ref="D52:Q52" si="30">SUM(D51)</f>
        <v>179</v>
      </c>
      <c r="E52" s="240">
        <f t="shared" si="30"/>
        <v>687.9</v>
      </c>
      <c r="F52" s="240">
        <f t="shared" si="30"/>
        <v>1.0960000000000001</v>
      </c>
      <c r="G52" s="240">
        <f t="shared" si="30"/>
        <v>0</v>
      </c>
      <c r="H52" s="240">
        <f t="shared" si="30"/>
        <v>0</v>
      </c>
      <c r="I52" s="240">
        <f t="shared" si="30"/>
        <v>0</v>
      </c>
      <c r="J52" s="240">
        <f t="shared" si="30"/>
        <v>0</v>
      </c>
      <c r="K52" s="240"/>
      <c r="L52" s="240">
        <f t="shared" si="30"/>
        <v>0</v>
      </c>
      <c r="M52" s="240">
        <f t="shared" si="30"/>
        <v>0</v>
      </c>
      <c r="N52" s="240">
        <f t="shared" si="30"/>
        <v>0</v>
      </c>
      <c r="O52" s="240">
        <f t="shared" si="30"/>
        <v>0</v>
      </c>
      <c r="P52" s="240"/>
      <c r="Q52" s="240">
        <f t="shared" si="30"/>
        <v>0</v>
      </c>
      <c r="R52" s="241"/>
      <c r="S52" s="223"/>
    </row>
    <row r="53" spans="1:25" ht="20.25" customHeight="1" x14ac:dyDescent="0.3">
      <c r="A53" s="238"/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1"/>
      <c r="S53" s="223"/>
    </row>
    <row r="54" spans="1:25" ht="27.75" customHeight="1" x14ac:dyDescent="0.3">
      <c r="A54" s="539" t="s">
        <v>81</v>
      </c>
      <c r="B54" s="539"/>
      <c r="C54" s="252"/>
      <c r="D54" s="252"/>
      <c r="E54" s="252"/>
      <c r="F54" s="252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24"/>
      <c r="S54" s="223"/>
    </row>
    <row r="55" spans="1:25" ht="48" customHeight="1" x14ac:dyDescent="0.3">
      <c r="A55" s="225">
        <v>35</v>
      </c>
      <c r="B55" s="226" t="s">
        <v>149</v>
      </c>
      <c r="C55" s="227">
        <v>2.5</v>
      </c>
      <c r="D55" s="228">
        <v>70</v>
      </c>
      <c r="E55" s="236">
        <v>78.3</v>
      </c>
      <c r="F55" s="236">
        <v>0.49</v>
      </c>
      <c r="G55" s="230">
        <v>914.4</v>
      </c>
      <c r="H55" s="230">
        <f>[5]программа!J243</f>
        <v>0</v>
      </c>
      <c r="I55" s="230"/>
      <c r="J55" s="230"/>
      <c r="K55" s="230"/>
      <c r="L55" s="230" t="e">
        <f>'2021--2025 кор. 18.03.21'!#REF!</f>
        <v>#REF!</v>
      </c>
      <c r="M55" s="230">
        <f>'[4]2019 г'!K265</f>
        <v>0</v>
      </c>
      <c r="N55" s="230"/>
      <c r="O55" s="230"/>
      <c r="P55" s="230"/>
      <c r="Q55" s="231" t="e">
        <f>SUM(G55:O55)</f>
        <v>#REF!</v>
      </c>
      <c r="R55" s="226" t="s">
        <v>186</v>
      </c>
      <c r="S55" s="277" t="e">
        <f>Q55-7805.85</f>
        <v>#REF!</v>
      </c>
    </row>
    <row r="56" spans="1:25" ht="84.75" customHeight="1" x14ac:dyDescent="0.3">
      <c r="A56" s="225">
        <v>36</v>
      </c>
      <c r="B56" s="226" t="s">
        <v>111</v>
      </c>
      <c r="C56" s="227">
        <v>2.5</v>
      </c>
      <c r="D56" s="228">
        <v>89</v>
      </c>
      <c r="E56" s="236">
        <v>718</v>
      </c>
      <c r="F56" s="236">
        <v>1.72</v>
      </c>
      <c r="G56" s="230">
        <v>2195.15</v>
      </c>
      <c r="H56" s="230"/>
      <c r="I56" s="230"/>
      <c r="J56" s="230"/>
      <c r="K56" s="230"/>
      <c r="L56" s="230" t="e">
        <f>'2021--2025 кор. 18.03.21'!#REF!</f>
        <v>#REF!</v>
      </c>
      <c r="M56" s="230"/>
      <c r="N56" s="230"/>
      <c r="O56" s="230"/>
      <c r="P56" s="230"/>
      <c r="Q56" s="231" t="e">
        <f>SUM(G56:O56)</f>
        <v>#REF!</v>
      </c>
      <c r="R56" s="226" t="s">
        <v>186</v>
      </c>
      <c r="S56" s="277" t="e">
        <f>Q56-10500</f>
        <v>#REF!</v>
      </c>
    </row>
    <row r="57" spans="1:25" ht="20.25" customHeight="1" x14ac:dyDescent="0.3">
      <c r="A57" s="238"/>
      <c r="B57" s="239" t="s">
        <v>29</v>
      </c>
      <c r="C57" s="240">
        <f>SUM(C55:C56)</f>
        <v>5</v>
      </c>
      <c r="D57" s="240">
        <f t="shared" ref="D57:Q57" si="31">SUM(D55:D56)</f>
        <v>159</v>
      </c>
      <c r="E57" s="240">
        <f t="shared" si="31"/>
        <v>796.3</v>
      </c>
      <c r="F57" s="240">
        <f t="shared" si="31"/>
        <v>2.21</v>
      </c>
      <c r="G57" s="240">
        <f t="shared" si="31"/>
        <v>3109.55</v>
      </c>
      <c r="H57" s="240">
        <f t="shared" si="31"/>
        <v>0</v>
      </c>
      <c r="I57" s="240">
        <f t="shared" si="31"/>
        <v>0</v>
      </c>
      <c r="J57" s="240">
        <f t="shared" si="31"/>
        <v>0</v>
      </c>
      <c r="K57" s="240"/>
      <c r="L57" s="240" t="e">
        <f t="shared" si="31"/>
        <v>#REF!</v>
      </c>
      <c r="M57" s="240">
        <f t="shared" si="31"/>
        <v>0</v>
      </c>
      <c r="N57" s="240">
        <f t="shared" si="31"/>
        <v>0</v>
      </c>
      <c r="O57" s="240">
        <f t="shared" si="31"/>
        <v>0</v>
      </c>
      <c r="P57" s="240"/>
      <c r="Q57" s="240" t="e">
        <f t="shared" si="31"/>
        <v>#REF!</v>
      </c>
      <c r="R57" s="241"/>
      <c r="S57" s="223"/>
    </row>
    <row r="58" spans="1:25" ht="37.5" customHeight="1" x14ac:dyDescent="0.3">
      <c r="A58" s="539" t="s">
        <v>9</v>
      </c>
      <c r="B58" s="539"/>
      <c r="C58" s="252"/>
      <c r="D58" s="252"/>
      <c r="E58" s="252"/>
      <c r="F58" s="252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24"/>
      <c r="S58" s="223"/>
    </row>
    <row r="59" spans="1:25" ht="89.25" customHeight="1" x14ac:dyDescent="0.3">
      <c r="A59" s="225">
        <v>37</v>
      </c>
      <c r="B59" s="226" t="s">
        <v>150</v>
      </c>
      <c r="C59" s="227">
        <v>7</v>
      </c>
      <c r="D59" s="225">
        <v>2206</v>
      </c>
      <c r="E59" s="225">
        <v>2509.59</v>
      </c>
      <c r="F59" s="225">
        <v>6.3</v>
      </c>
      <c r="G59" s="230">
        <f>'2021--2025 кор. 18.03.21'!J354</f>
        <v>0</v>
      </c>
      <c r="H59" s="230">
        <f>'2021--2025 кор. 18.03.21'!J355</f>
        <v>0</v>
      </c>
      <c r="I59" s="230"/>
      <c r="J59" s="230"/>
      <c r="K59" s="230"/>
      <c r="L59" s="230">
        <f>'[4]2019 г'!K298</f>
        <v>0</v>
      </c>
      <c r="M59" s="230">
        <f>'2021--2025 кор. 18.03.21'!K355</f>
        <v>0</v>
      </c>
      <c r="N59" s="230"/>
      <c r="O59" s="230"/>
      <c r="P59" s="230"/>
      <c r="Q59" s="231">
        <f>SUM(G59:O59)</f>
        <v>0</v>
      </c>
      <c r="R59" s="226" t="s">
        <v>187</v>
      </c>
      <c r="S59" s="277">
        <f>Q59-34800</f>
        <v>-34800</v>
      </c>
      <c r="T59" s="114">
        <f>$T$1*F59</f>
        <v>9511.2360000000008</v>
      </c>
      <c r="U59" s="114">
        <f>$U$1*C59</f>
        <v>2264.3439798733434</v>
      </c>
      <c r="V59" s="114">
        <f t="shared" ref="V59:V60" si="32">Q59/$V$1</f>
        <v>0</v>
      </c>
      <c r="W59" s="114">
        <f t="shared" ref="W59:W60" si="33">Q59*0.022</f>
        <v>0</v>
      </c>
      <c r="X59" s="114">
        <f t="shared" ref="X59:X60" si="34">U59+V59+W59</f>
        <v>2264.3439798733434</v>
      </c>
      <c r="Y59" s="114">
        <f t="shared" ref="Y59:Y60" si="35">T59-X59</f>
        <v>7246.8920201266574</v>
      </c>
    </row>
    <row r="60" spans="1:25" ht="54" customHeight="1" x14ac:dyDescent="0.3">
      <c r="A60" s="225">
        <v>38</v>
      </c>
      <c r="B60" s="226" t="s">
        <v>151</v>
      </c>
      <c r="C60" s="227">
        <v>2.5</v>
      </c>
      <c r="D60" s="225">
        <v>55</v>
      </c>
      <c r="E60" s="236">
        <v>77.124000000000009</v>
      </c>
      <c r="F60" s="236">
        <v>0.18079999999999999</v>
      </c>
      <c r="G60" s="230"/>
      <c r="H60" s="230">
        <f>[5]программа!J258</f>
        <v>0</v>
      </c>
      <c r="I60" s="230">
        <f>'2021--2025 кор. 18.03.21'!J362</f>
        <v>0</v>
      </c>
      <c r="J60" s="230"/>
      <c r="K60" s="230"/>
      <c r="L60" s="230"/>
      <c r="M60" s="230">
        <f>[5]программа!K258</f>
        <v>0</v>
      </c>
      <c r="N60" s="230">
        <f>[5]программа!K259</f>
        <v>0</v>
      </c>
      <c r="O60" s="230">
        <f>'2021--2025 кор. 18.03.21'!K363</f>
        <v>0</v>
      </c>
      <c r="P60" s="230"/>
      <c r="Q60" s="231">
        <f>SUM(G60:O60)</f>
        <v>0</v>
      </c>
      <c r="R60" s="226" t="s">
        <v>187</v>
      </c>
      <c r="S60" s="235">
        <f>Q60-13000</f>
        <v>-13000</v>
      </c>
      <c r="T60" s="114">
        <f>$T$1*F60</f>
        <v>272.95737600000001</v>
      </c>
      <c r="U60" s="114">
        <f>$U$1*C60</f>
        <v>808.69427852619413</v>
      </c>
      <c r="V60" s="114">
        <f t="shared" si="32"/>
        <v>0</v>
      </c>
      <c r="W60" s="114">
        <f t="shared" si="33"/>
        <v>0</v>
      </c>
      <c r="X60" s="114">
        <f t="shared" si="34"/>
        <v>808.69427852619413</v>
      </c>
      <c r="Y60" s="114">
        <f t="shared" si="35"/>
        <v>-535.73690252619417</v>
      </c>
    </row>
    <row r="61" spans="1:25" ht="20.25" customHeight="1" x14ac:dyDescent="0.3">
      <c r="A61" s="238"/>
      <c r="B61" s="239" t="s">
        <v>29</v>
      </c>
      <c r="C61" s="240">
        <f>SUM(C59:C60)</f>
        <v>9.5</v>
      </c>
      <c r="D61" s="240">
        <f t="shared" ref="D61:Q61" si="36">SUM(D59:D60)</f>
        <v>2261</v>
      </c>
      <c r="E61" s="240">
        <f t="shared" si="36"/>
        <v>2586.7139999999999</v>
      </c>
      <c r="F61" s="240">
        <f t="shared" si="36"/>
        <v>6.4807999999999995</v>
      </c>
      <c r="G61" s="240">
        <f t="shared" ref="G61:O61" si="37">SUM(G59:G60)</f>
        <v>0</v>
      </c>
      <c r="H61" s="240">
        <f t="shared" si="37"/>
        <v>0</v>
      </c>
      <c r="I61" s="240">
        <f t="shared" si="37"/>
        <v>0</v>
      </c>
      <c r="J61" s="240">
        <f t="shared" si="37"/>
        <v>0</v>
      </c>
      <c r="K61" s="240"/>
      <c r="L61" s="240">
        <f t="shared" si="37"/>
        <v>0</v>
      </c>
      <c r="M61" s="240">
        <f t="shared" si="37"/>
        <v>0</v>
      </c>
      <c r="N61" s="240">
        <f t="shared" si="37"/>
        <v>0</v>
      </c>
      <c r="O61" s="240">
        <f t="shared" si="37"/>
        <v>0</v>
      </c>
      <c r="P61" s="240"/>
      <c r="Q61" s="240">
        <f t="shared" si="36"/>
        <v>0</v>
      </c>
      <c r="R61" s="241"/>
      <c r="S61" s="223"/>
    </row>
    <row r="62" spans="1:25" ht="31.5" customHeight="1" x14ac:dyDescent="0.3">
      <c r="A62" s="539" t="s">
        <v>10</v>
      </c>
      <c r="B62" s="539"/>
      <c r="C62" s="243"/>
      <c r="D62" s="243"/>
      <c r="E62" s="243"/>
      <c r="F62" s="243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24"/>
      <c r="S62" s="223"/>
    </row>
    <row r="63" spans="1:25" ht="57" customHeight="1" x14ac:dyDescent="0.3">
      <c r="A63" s="233">
        <v>40</v>
      </c>
      <c r="B63" s="226" t="s">
        <v>68</v>
      </c>
      <c r="C63" s="281">
        <v>34</v>
      </c>
      <c r="D63" s="233">
        <v>500</v>
      </c>
      <c r="E63" s="282">
        <v>144</v>
      </c>
      <c r="F63" s="282">
        <v>0.92020000000000002</v>
      </c>
      <c r="G63" s="283">
        <f>'2021--2025 кор. 18.03.21'!J392</f>
        <v>0</v>
      </c>
      <c r="H63" s="283">
        <f>'2021--2025 кор. 18.03.21'!J393</f>
        <v>0</v>
      </c>
      <c r="I63" s="283"/>
      <c r="J63" s="283"/>
      <c r="K63" s="283"/>
      <c r="L63" s="283"/>
      <c r="M63" s="283">
        <f>'2021--2025 кор. 18.03.21'!K393</f>
        <v>0</v>
      </c>
      <c r="N63" s="283">
        <f>'2021--2025 кор. 18.03.21'!K394</f>
        <v>0</v>
      </c>
      <c r="O63" s="283"/>
      <c r="P63" s="283"/>
      <c r="Q63" s="284">
        <f>SUM(G63:O63)</f>
        <v>0</v>
      </c>
      <c r="R63" s="226" t="s">
        <v>187</v>
      </c>
      <c r="S63" s="255">
        <f>Q63-107697</f>
        <v>-107697</v>
      </c>
      <c r="T63" s="114">
        <f>$T$1*F63</f>
        <v>1389.244344</v>
      </c>
      <c r="U63" s="114">
        <f>$U$1*C63</f>
        <v>10998.242187956239</v>
      </c>
      <c r="V63" s="114">
        <f t="shared" ref="V63:V64" si="38">Q63/$V$1</f>
        <v>0</v>
      </c>
      <c r="W63" s="114">
        <f t="shared" ref="W63:W64" si="39">Q63*0.022</f>
        <v>0</v>
      </c>
      <c r="X63" s="114">
        <f t="shared" ref="X63:X64" si="40">U63+V63+W63</f>
        <v>10998.242187956239</v>
      </c>
      <c r="Y63" s="114">
        <f t="shared" ref="Y63:Y64" si="41">T63-X63</f>
        <v>-9608.9978439562383</v>
      </c>
    </row>
    <row r="64" spans="1:25" ht="57" customHeight="1" x14ac:dyDescent="0.3">
      <c r="A64" s="225">
        <v>41</v>
      </c>
      <c r="B64" s="226" t="s">
        <v>152</v>
      </c>
      <c r="C64" s="227">
        <v>14</v>
      </c>
      <c r="D64" s="227">
        <v>319</v>
      </c>
      <c r="E64" s="236">
        <v>445.9212</v>
      </c>
      <c r="F64" s="281">
        <v>1.0449999999999999</v>
      </c>
      <c r="G64" s="230"/>
      <c r="H64" s="230">
        <f>'[4]2019 г'!J330</f>
        <v>0</v>
      </c>
      <c r="I64" s="230"/>
      <c r="J64" s="230">
        <f>'2021--2025 кор. 18.03.21'!J401</f>
        <v>0</v>
      </c>
      <c r="K64" s="230"/>
      <c r="L64" s="230"/>
      <c r="M64" s="230">
        <f>'[5]2019 г'!K295</f>
        <v>0</v>
      </c>
      <c r="N64" s="230">
        <f>'[4]2019 г'!K331</f>
        <v>0</v>
      </c>
      <c r="O64" s="230">
        <f>'2021--2025 кор. 18.03.21'!K401</f>
        <v>48000</v>
      </c>
      <c r="P64" s="230"/>
      <c r="Q64" s="248">
        <f>SUM(G64:O64)</f>
        <v>48000</v>
      </c>
      <c r="R64" s="226" t="s">
        <v>188</v>
      </c>
      <c r="S64" s="255">
        <f>Q64-68123.31</f>
        <v>-20123.309999999998</v>
      </c>
      <c r="T64" s="114">
        <f>$T$1*F64</f>
        <v>1577.6573999999998</v>
      </c>
      <c r="U64" s="114">
        <f>$U$1*C64</f>
        <v>4528.6879597466868</v>
      </c>
      <c r="V64" s="114">
        <f t="shared" si="38"/>
        <v>960</v>
      </c>
      <c r="W64" s="114">
        <f t="shared" si="39"/>
        <v>1056</v>
      </c>
      <c r="X64" s="114">
        <f t="shared" si="40"/>
        <v>6544.6879597466868</v>
      </c>
      <c r="Y64" s="114">
        <f t="shared" si="41"/>
        <v>-4967.0305597466868</v>
      </c>
    </row>
    <row r="65" spans="1:26" ht="57" customHeight="1" x14ac:dyDescent="0.3">
      <c r="A65" s="256">
        <v>42</v>
      </c>
      <c r="B65" s="269" t="s">
        <v>159</v>
      </c>
      <c r="C65" s="270">
        <v>4.5</v>
      </c>
      <c r="D65" s="271">
        <v>362</v>
      </c>
      <c r="E65" s="275">
        <v>350.56599999999997</v>
      </c>
      <c r="F65" s="285">
        <v>0.82179999999999997</v>
      </c>
      <c r="G65" s="272">
        <f>'[4]2019 г'!J341</f>
        <v>0</v>
      </c>
      <c r="H65" s="272"/>
      <c r="I65" s="272">
        <v>0</v>
      </c>
      <c r="J65" s="272"/>
      <c r="K65" s="272"/>
      <c r="L65" s="272">
        <f>'[4]2019 г'!K341</f>
        <v>0</v>
      </c>
      <c r="M65" s="272">
        <f>'[4]2019 г'!K342</f>
        <v>0</v>
      </c>
      <c r="N65" s="272"/>
      <c r="O65" s="272">
        <v>0</v>
      </c>
      <c r="P65" s="272"/>
      <c r="Q65" s="258">
        <f>SUM(G65:O65)</f>
        <v>0</v>
      </c>
      <c r="R65" s="269" t="s">
        <v>190</v>
      </c>
      <c r="S65" s="259">
        <f>Q65-31067</f>
        <v>-31067</v>
      </c>
      <c r="T65" s="114"/>
      <c r="U65" s="114"/>
      <c r="V65" s="114"/>
      <c r="W65" s="116"/>
      <c r="X65" s="116"/>
      <c r="Y65" s="116"/>
    </row>
    <row r="66" spans="1:26" s="109" customFormat="1" ht="57" customHeight="1" x14ac:dyDescent="0.3">
      <c r="A66" s="225">
        <v>43</v>
      </c>
      <c r="B66" s="226" t="s">
        <v>83</v>
      </c>
      <c r="C66" s="227">
        <v>3.5</v>
      </c>
      <c r="D66" s="228">
        <v>65</v>
      </c>
      <c r="E66" s="236">
        <v>161.88999999999999</v>
      </c>
      <c r="F66" s="282">
        <v>0.82</v>
      </c>
      <c r="G66" s="230" t="e">
        <f>'2021--2025 кор. 18.03.21'!#REF!</f>
        <v>#REF!</v>
      </c>
      <c r="H66" s="230"/>
      <c r="I66" s="230"/>
      <c r="J66" s="230"/>
      <c r="K66" s="230"/>
      <c r="L66" s="230" t="e">
        <f>'2021--2025 кор. 18.03.21'!#REF!</f>
        <v>#REF!</v>
      </c>
      <c r="M66" s="230"/>
      <c r="N66" s="230"/>
      <c r="O66" s="230"/>
      <c r="P66" s="230"/>
      <c r="Q66" s="248" t="e">
        <f>SUM(G66:O66)</f>
        <v>#REF!</v>
      </c>
      <c r="R66" s="226" t="s">
        <v>186</v>
      </c>
      <c r="S66" s="255" t="e">
        <f>Q66-9624.87</f>
        <v>#REF!</v>
      </c>
      <c r="T66" s="108"/>
      <c r="U66" s="108"/>
      <c r="V66" s="108"/>
      <c r="W66" s="112"/>
      <c r="X66" s="112"/>
      <c r="Y66" s="112"/>
    </row>
    <row r="67" spans="1:26" s="109" customFormat="1" ht="57" customHeight="1" x14ac:dyDescent="0.3">
      <c r="A67" s="225">
        <v>44</v>
      </c>
      <c r="B67" s="226" t="s">
        <v>170</v>
      </c>
      <c r="C67" s="227">
        <v>2</v>
      </c>
      <c r="D67" s="228">
        <v>291</v>
      </c>
      <c r="E67" s="236">
        <v>348.97</v>
      </c>
      <c r="F67" s="282">
        <v>0.94</v>
      </c>
      <c r="G67" s="230" t="e">
        <f>'2021--2025 кор. 18.03.21'!#REF!</f>
        <v>#REF!</v>
      </c>
      <c r="H67" s="230"/>
      <c r="I67" s="230"/>
      <c r="J67" s="230"/>
      <c r="K67" s="230"/>
      <c r="L67" s="230" t="e">
        <f>'2021--2025 кор. 18.03.21'!#REF!</f>
        <v>#REF!</v>
      </c>
      <c r="M67" s="230"/>
      <c r="N67" s="230"/>
      <c r="O67" s="230"/>
      <c r="P67" s="230"/>
      <c r="Q67" s="248" t="e">
        <f>SUM(G67:O67)</f>
        <v>#REF!</v>
      </c>
      <c r="R67" s="226" t="s">
        <v>186</v>
      </c>
      <c r="S67" s="255" t="e">
        <f>Q67-10678.35</f>
        <v>#REF!</v>
      </c>
      <c r="T67" s="108"/>
      <c r="U67" s="108"/>
      <c r="V67" s="108"/>
      <c r="W67" s="112"/>
      <c r="X67" s="112"/>
      <c r="Y67" s="112"/>
    </row>
    <row r="68" spans="1:26" ht="42.75" customHeight="1" x14ac:dyDescent="0.3">
      <c r="A68" s="238"/>
      <c r="B68" s="239" t="s">
        <v>29</v>
      </c>
      <c r="C68" s="240">
        <f t="shared" ref="C68:J68" si="42">SUM(C63:C67)</f>
        <v>58</v>
      </c>
      <c r="D68" s="240">
        <f t="shared" si="42"/>
        <v>1537</v>
      </c>
      <c r="E68" s="240">
        <f t="shared" si="42"/>
        <v>1451.3471999999999</v>
      </c>
      <c r="F68" s="240">
        <f t="shared" si="42"/>
        <v>4.5469999999999997</v>
      </c>
      <c r="G68" s="240" t="e">
        <f t="shared" si="42"/>
        <v>#REF!</v>
      </c>
      <c r="H68" s="240">
        <f t="shared" si="42"/>
        <v>0</v>
      </c>
      <c r="I68" s="240">
        <f t="shared" si="42"/>
        <v>0</v>
      </c>
      <c r="J68" s="240">
        <f t="shared" si="42"/>
        <v>0</v>
      </c>
      <c r="K68" s="240"/>
      <c r="L68" s="240" t="e">
        <f>SUM(L63:L67)</f>
        <v>#REF!</v>
      </c>
      <c r="M68" s="240">
        <f>SUM(M63:M67)</f>
        <v>0</v>
      </c>
      <c r="N68" s="240">
        <f>SUM(N63:N67)</f>
        <v>0</v>
      </c>
      <c r="O68" s="240">
        <f>SUM(O63:O67)</f>
        <v>48000</v>
      </c>
      <c r="P68" s="240"/>
      <c r="Q68" s="240" t="e">
        <f>SUM(Q63:Q67)</f>
        <v>#REF!</v>
      </c>
      <c r="R68" s="241"/>
      <c r="S68" s="223"/>
      <c r="T68" s="107"/>
      <c r="U68" s="107"/>
      <c r="V68" s="107"/>
    </row>
    <row r="69" spans="1:26" ht="27" customHeight="1" x14ac:dyDescent="0.3">
      <c r="A69" s="238"/>
      <c r="B69" s="286" t="s">
        <v>153</v>
      </c>
      <c r="C69" s="287">
        <f>C68+C61+C49+C41+C30+C27+C20+C15+C11+C33+C57+C52+C44</f>
        <v>274.63</v>
      </c>
      <c r="D69" s="287">
        <f t="shared" ref="D69:Q69" si="43">D68+D61+D49+D41+D30+D27+D20+D15+D11+D33+D57+D52+D44</f>
        <v>17658</v>
      </c>
      <c r="E69" s="287">
        <f t="shared" si="43"/>
        <v>46047.375500000009</v>
      </c>
      <c r="F69" s="287">
        <f t="shared" si="43"/>
        <v>121.20759999999999</v>
      </c>
      <c r="G69" s="287" t="e">
        <f t="shared" si="43"/>
        <v>#REF!</v>
      </c>
      <c r="H69" s="287">
        <f t="shared" si="43"/>
        <v>0</v>
      </c>
      <c r="I69" s="287">
        <f t="shared" si="43"/>
        <v>5000</v>
      </c>
      <c r="J69" s="287">
        <f t="shared" si="43"/>
        <v>800</v>
      </c>
      <c r="K69" s="287"/>
      <c r="L69" s="287" t="e">
        <f t="shared" si="43"/>
        <v>#REF!</v>
      </c>
      <c r="M69" s="287">
        <f t="shared" si="43"/>
        <v>0</v>
      </c>
      <c r="N69" s="287">
        <f t="shared" si="43"/>
        <v>0</v>
      </c>
      <c r="O69" s="287">
        <f t="shared" si="43"/>
        <v>84100</v>
      </c>
      <c r="P69" s="287"/>
      <c r="Q69" s="287" t="e">
        <f t="shared" si="43"/>
        <v>#REF!</v>
      </c>
      <c r="R69" s="286"/>
      <c r="S69" s="223"/>
      <c r="T69" s="114">
        <f>SUM(T6:T68)</f>
        <v>98895.567348000026</v>
      </c>
      <c r="U69" s="114">
        <f>SUM(U6:U68)</f>
        <v>48101.135686738024</v>
      </c>
      <c r="V69" s="114">
        <f>SUM(V6:V68)</f>
        <v>1598</v>
      </c>
    </row>
    <row r="70" spans="1:26" ht="20.25" x14ac:dyDescent="0.3">
      <c r="A70" s="119"/>
      <c r="B70" s="123"/>
      <c r="C70" s="123"/>
      <c r="D70" s="123"/>
      <c r="E70" s="123"/>
      <c r="F70" s="123"/>
      <c r="G70" s="124"/>
      <c r="H70" s="124"/>
      <c r="I70" s="124"/>
      <c r="J70" s="124"/>
      <c r="K70" s="124"/>
      <c r="L70" s="124"/>
      <c r="M70" s="120"/>
      <c r="N70" s="120"/>
      <c r="O70" s="120"/>
      <c r="P70" s="120"/>
      <c r="Q70" s="120"/>
      <c r="V70" s="121"/>
      <c r="W70" s="121"/>
      <c r="X70" s="121"/>
      <c r="Y70" s="121"/>
      <c r="Z70" s="121"/>
    </row>
    <row r="71" spans="1:26" ht="20.25" x14ac:dyDescent="0.3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V71" s="122"/>
      <c r="W71" s="121"/>
      <c r="X71" s="121"/>
      <c r="Y71" s="112"/>
      <c r="Z71" s="121"/>
    </row>
    <row r="72" spans="1:26" ht="26.25" customHeight="1" x14ac:dyDescent="0.3">
      <c r="B72" s="123"/>
      <c r="C72" s="531" t="s">
        <v>162</v>
      </c>
      <c r="D72" s="531"/>
      <c r="E72" s="531"/>
      <c r="F72" s="531"/>
      <c r="G72" s="532" t="s">
        <v>160</v>
      </c>
      <c r="H72" s="533"/>
      <c r="I72" s="533"/>
      <c r="J72" s="534"/>
      <c r="K72" s="291"/>
      <c r="L72" s="526" t="s">
        <v>166</v>
      </c>
      <c r="V72" s="122"/>
      <c r="W72" s="121"/>
      <c r="X72" s="121"/>
      <c r="Y72" s="112"/>
      <c r="Z72" s="121"/>
    </row>
    <row r="73" spans="1:26" ht="57.75" customHeight="1" x14ac:dyDescent="0.3">
      <c r="B73" s="123"/>
      <c r="C73" s="125" t="s">
        <v>1</v>
      </c>
      <c r="D73" s="125" t="s">
        <v>2</v>
      </c>
      <c r="E73" s="125" t="s">
        <v>161</v>
      </c>
      <c r="F73" s="125" t="s">
        <v>153</v>
      </c>
      <c r="G73" s="125" t="s">
        <v>1</v>
      </c>
      <c r="H73" s="131" t="s">
        <v>2</v>
      </c>
      <c r="I73" s="133" t="s">
        <v>161</v>
      </c>
      <c r="J73" s="133" t="s">
        <v>153</v>
      </c>
      <c r="K73" s="292"/>
      <c r="L73" s="527"/>
      <c r="V73" s="122"/>
      <c r="W73" s="121"/>
      <c r="X73" s="121"/>
      <c r="Y73" s="112"/>
      <c r="Z73" s="121"/>
    </row>
    <row r="74" spans="1:26" ht="22.5" customHeight="1" x14ac:dyDescent="0.3">
      <c r="B74" s="123">
        <v>2020</v>
      </c>
      <c r="C74" s="126" t="e">
        <f>G69</f>
        <v>#REF!</v>
      </c>
      <c r="D74" s="126" t="e">
        <f>L69</f>
        <v>#REF!</v>
      </c>
      <c r="E74" s="127">
        <v>25036.959999999999</v>
      </c>
      <c r="F74" s="127" t="e">
        <f t="shared" ref="F74:F77" si="44">SUM(C74:E74)</f>
        <v>#REF!</v>
      </c>
      <c r="G74" s="128">
        <v>63273.67</v>
      </c>
      <c r="H74" s="128">
        <v>408194.02256000001</v>
      </c>
      <c r="I74" s="127">
        <v>25036.959999999999</v>
      </c>
      <c r="J74" s="127">
        <f t="shared" ref="J74:J77" si="45">SUM(G74:I74)</f>
        <v>496504.65256000002</v>
      </c>
      <c r="K74" s="127"/>
      <c r="L74" s="127" t="e">
        <f>F74-J74</f>
        <v>#REF!</v>
      </c>
      <c r="V74" s="121"/>
      <c r="W74" s="121"/>
      <c r="X74" s="121"/>
      <c r="Y74" s="121"/>
      <c r="Z74" s="121"/>
    </row>
    <row r="75" spans="1:26" ht="22.5" customHeight="1" x14ac:dyDescent="0.3">
      <c r="B75" s="123">
        <v>2021</v>
      </c>
      <c r="C75" s="126">
        <f>H69</f>
        <v>0</v>
      </c>
      <c r="D75" s="126">
        <f>M69</f>
        <v>0</v>
      </c>
      <c r="E75" s="127">
        <v>70000</v>
      </c>
      <c r="F75" s="127">
        <f t="shared" si="44"/>
        <v>70000</v>
      </c>
      <c r="G75" s="128">
        <v>26079.27</v>
      </c>
      <c r="H75" s="128">
        <v>298190.23</v>
      </c>
      <c r="I75" s="127">
        <v>85000</v>
      </c>
      <c r="J75" s="127">
        <f t="shared" si="45"/>
        <v>409269.5</v>
      </c>
      <c r="K75" s="127"/>
      <c r="L75" s="127">
        <f>F75-J75</f>
        <v>-339269.5</v>
      </c>
      <c r="V75" s="121"/>
      <c r="W75" s="121"/>
      <c r="X75" s="121"/>
      <c r="Y75" s="121"/>
      <c r="Z75" s="121"/>
    </row>
    <row r="76" spans="1:26" ht="22.5" customHeight="1" x14ac:dyDescent="0.3">
      <c r="B76" s="123">
        <v>2022</v>
      </c>
      <c r="C76" s="126">
        <f>I69</f>
        <v>5000</v>
      </c>
      <c r="D76" s="126">
        <f>N69</f>
        <v>0</v>
      </c>
      <c r="E76" s="127">
        <v>80000</v>
      </c>
      <c r="F76" s="127">
        <f t="shared" si="44"/>
        <v>85000</v>
      </c>
      <c r="G76" s="128">
        <v>64399.33</v>
      </c>
      <c r="H76" s="128">
        <v>101267.98</v>
      </c>
      <c r="I76" s="127">
        <v>95000</v>
      </c>
      <c r="J76" s="127">
        <f t="shared" si="45"/>
        <v>260667.31</v>
      </c>
      <c r="K76" s="127"/>
      <c r="L76" s="127">
        <f>F76-J76</f>
        <v>-175667.31</v>
      </c>
      <c r="V76" s="121"/>
      <c r="W76" s="121"/>
      <c r="X76" s="121"/>
      <c r="Y76" s="121"/>
      <c r="Z76" s="121"/>
    </row>
    <row r="77" spans="1:26" ht="22.5" customHeight="1" x14ac:dyDescent="0.3">
      <c r="B77" s="123">
        <v>2023</v>
      </c>
      <c r="C77" s="126">
        <f>J69</f>
        <v>800</v>
      </c>
      <c r="D77" s="126">
        <f>O69</f>
        <v>84100</v>
      </c>
      <c r="E77" s="127">
        <v>85000</v>
      </c>
      <c r="F77" s="127">
        <f t="shared" si="44"/>
        <v>169900</v>
      </c>
      <c r="G77" s="128">
        <v>14500</v>
      </c>
      <c r="H77" s="128">
        <v>205416.41</v>
      </c>
      <c r="I77" s="127">
        <v>105000</v>
      </c>
      <c r="J77" s="127">
        <f t="shared" si="45"/>
        <v>324916.41000000003</v>
      </c>
      <c r="K77" s="127"/>
      <c r="L77" s="127">
        <f>F77-J77</f>
        <v>-155016.41000000003</v>
      </c>
      <c r="V77" s="121"/>
      <c r="W77" s="121"/>
      <c r="X77" s="121"/>
      <c r="Y77" s="121"/>
      <c r="Z77" s="121"/>
    </row>
    <row r="78" spans="1:26" ht="20.25" x14ac:dyDescent="0.3">
      <c r="B78" s="129" t="s">
        <v>153</v>
      </c>
      <c r="C78" s="222" t="e">
        <f t="shared" ref="C78:J78" si="46">SUM(C74:C77)</f>
        <v>#REF!</v>
      </c>
      <c r="D78" s="222" t="e">
        <f t="shared" si="46"/>
        <v>#REF!</v>
      </c>
      <c r="E78" s="222">
        <f t="shared" si="46"/>
        <v>260036.96</v>
      </c>
      <c r="F78" s="222" t="e">
        <f t="shared" si="46"/>
        <v>#REF!</v>
      </c>
      <c r="G78" s="222">
        <f t="shared" si="46"/>
        <v>168252.27000000002</v>
      </c>
      <c r="H78" s="222">
        <f t="shared" si="46"/>
        <v>1013068.6425599999</v>
      </c>
      <c r="I78" s="222">
        <f t="shared" si="46"/>
        <v>310036.95999999996</v>
      </c>
      <c r="J78" s="222">
        <f t="shared" si="46"/>
        <v>1491357.87256</v>
      </c>
      <c r="K78" s="222"/>
      <c r="L78" s="222" t="e">
        <f>SUM(L74:L77)</f>
        <v>#REF!</v>
      </c>
      <c r="V78" s="121"/>
      <c r="W78" s="121"/>
      <c r="X78" s="121"/>
      <c r="Y78" s="121"/>
      <c r="Z78" s="121"/>
    </row>
    <row r="79" spans="1:26" ht="20.25" x14ac:dyDescent="0.3">
      <c r="B79" s="123"/>
      <c r="C79" s="123"/>
      <c r="D79" s="123"/>
      <c r="E79" s="130"/>
      <c r="F79" s="123"/>
      <c r="G79" s="123"/>
      <c r="H79" s="123"/>
      <c r="I79" s="132"/>
      <c r="J79" s="123"/>
      <c r="K79" s="123"/>
      <c r="L79" s="123"/>
      <c r="V79" s="121"/>
      <c r="W79" s="121"/>
      <c r="X79" s="121"/>
      <c r="Y79" s="121"/>
      <c r="Z79" s="121"/>
    </row>
    <row r="80" spans="1:26" ht="20.25" x14ac:dyDescent="0.3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</sheetData>
  <autoFilter ref="A5:S69">
    <filterColumn colId="0" showButton="0"/>
  </autoFilter>
  <mergeCells count="30">
    <mergeCell ref="C72:F72"/>
    <mergeCell ref="G72:J72"/>
    <mergeCell ref="A34:B34"/>
    <mergeCell ref="A45:B45"/>
    <mergeCell ref="A54:B54"/>
    <mergeCell ref="A58:B58"/>
    <mergeCell ref="A62:B62"/>
    <mergeCell ref="A50:B50"/>
    <mergeCell ref="A42:B42"/>
    <mergeCell ref="A5:B5"/>
    <mergeCell ref="A12:B12"/>
    <mergeCell ref="A16:B16"/>
    <mergeCell ref="A21:B21"/>
    <mergeCell ref="A31:B31"/>
    <mergeCell ref="L72:L73"/>
    <mergeCell ref="X2:X3"/>
    <mergeCell ref="Y2:Y3"/>
    <mergeCell ref="A1:S1"/>
    <mergeCell ref="A2:A3"/>
    <mergeCell ref="B2:B3"/>
    <mergeCell ref="C2:F2"/>
    <mergeCell ref="G2:Q2"/>
    <mergeCell ref="S2:S3"/>
    <mergeCell ref="G3:K3"/>
    <mergeCell ref="L3:P3"/>
    <mergeCell ref="A28:B28"/>
    <mergeCell ref="T2:T3"/>
    <mergeCell ref="U2:U3"/>
    <mergeCell ref="V2:V3"/>
    <mergeCell ref="W2:W3"/>
  </mergeCells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</vt:lpstr>
      <vt:lpstr>2019--2023 кор.19.05.20</vt:lpstr>
      <vt:lpstr>2021--2025 кор. 18.03.21</vt:lpstr>
      <vt:lpstr>для ДГ</vt:lpstr>
      <vt:lpstr>'2019--2023 кор.19.05.20'!Print_AreaFix_7</vt:lpstr>
      <vt:lpstr>'2021--2025 кор. 18.03.21'!Print_AreaFix_8</vt:lpstr>
      <vt:lpstr>'для ДГ'!Print_AreaFix_9</vt:lpstr>
      <vt:lpstr>'2019--2023 кор.19.05.20'!Print_TitlesFix_4</vt:lpstr>
      <vt:lpstr>'2021--2025 кор. 18.03.21'!Print_TitlesFix_5</vt:lpstr>
      <vt:lpstr>'для ДГ'!Print_TitlesFix_6</vt:lpstr>
      <vt:lpstr>'2021--2025 кор. 18.03.21'!Заголовки_для_печати</vt:lpstr>
      <vt:lpstr>'2021--2025 кор. 18.03.21'!Область_печати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2021-04-05T10:47:42Z</dcterms:modified>
</cp:coreProperties>
</file>